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ufkosten" sheetId="1" state="visible" r:id="rId3"/>
    <sheet name="Hinwei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<sst xmlns="http://schemas.openxmlformats.org/spreadsheetml/2006/main" count="71" uniqueCount="71">
  <si>
    <t xml:space="preserve">Kaufkosten- und Finanzierungsrechner · Spanien und Portugal</t>
  </si>
  <si>
    <t xml:space="preserve">Perini Finance &amp; Property · Siegfried Perini · Hypothek für Nicht-Residenten · perini.es</t>
  </si>
  <si>
    <t xml:space="preserve">IHRE EINGABEN — nur die gelben Felder ändern</t>
  </si>
  <si>
    <t xml:space="preserve">Kaufpreis</t>
  </si>
  <si>
    <t xml:space="preserve">der beurkundete Kaufpreis, ohne Nebenkosten</t>
  </si>
  <si>
    <t xml:space="preserve">Land</t>
  </si>
  <si>
    <t xml:space="preserve">ES</t>
  </si>
  <si>
    <t xml:space="preserve">ES für Spanien, PT für Portugal — steuert Nebenkosten und Beleihungsgrenze</t>
  </si>
  <si>
    <t xml:space="preserve">Eigenkapital für den Kaufpreis</t>
  </si>
  <si>
    <t xml:space="preserve">was Sie auf den Kaufpreis einbringen wollen</t>
  </si>
  <si>
    <t xml:space="preserve">Sollzins p. a.</t>
  </si>
  <si>
    <t xml:space="preserve">neutraler Startwert — Ihre Kondition nennt die Bank im Angebot</t>
  </si>
  <si>
    <t xml:space="preserve">Laufzeit in Jahren</t>
  </si>
  <si>
    <t xml:space="preserve">üblich 20–30 Jahre; das Alter bei Laufzeitende begrenzt sie</t>
  </si>
  <si>
    <t xml:space="preserve">HINTERLEGTE SÄTZE — aus dem Rechner auf perini.es</t>
  </si>
  <si>
    <t xml:space="preserve">Nebenkosten Spanien</t>
  </si>
  <si>
    <t xml:space="preserve">ITP/IVA, Notar, Registro, Gestoría, Anwalt — Erfahrungswert</t>
  </si>
  <si>
    <t xml:space="preserve">Nebenkosten Portugal</t>
  </si>
  <si>
    <t xml:space="preserve">IMT 7,5 % für Nicht-Residenten, Imposto do Selo, Notar, Anwalt</t>
  </si>
  <si>
    <t xml:space="preserve">Max. Beleihung Spanien</t>
  </si>
  <si>
    <t xml:space="preserve">Nicht-Residenten; Residenten erreichen mehr</t>
  </si>
  <si>
    <t xml:space="preserve">Max. Beleihung Portugal</t>
  </si>
  <si>
    <t xml:space="preserve">Nicht-Residenten</t>
  </si>
  <si>
    <t xml:space="preserve">ERGEBNIS — rechnet automatisch</t>
  </si>
  <si>
    <t xml:space="preserve">Nebenkosten</t>
  </si>
  <si>
    <t xml:space="preserve">Die Bank finanziert den Kaufpreis, nicht die Nebenkosten — die tragen Sie aus Eigenkapital</t>
  </si>
  <si>
    <t xml:space="preserve">Gesamtinvestition</t>
  </si>
  <si>
    <t xml:space="preserve">Kaufpreis plus Nebenkosten</t>
  </si>
  <si>
    <t xml:space="preserve">Darlehen</t>
  </si>
  <si>
    <t xml:space="preserve">auf die Beleihungsgrenze des Landes gedeckelt</t>
  </si>
  <si>
    <t xml:space="preserve">Beleihungsauslauf</t>
  </si>
  <si>
    <t xml:space="preserve">Darlehen im Verhältnis zum Kaufpreis</t>
  </si>
  <si>
    <t xml:space="preserve">Tatsächlicher Eigenkapitalbedarf</t>
  </si>
  <si>
    <t xml:space="preserve">der Betrag, der wirklich flüssig sein muss — inklusive Nebenkosten</t>
  </si>
  <si>
    <t xml:space="preserve">Monatliche Rate</t>
  </si>
  <si>
    <t xml:space="preserve">Annuität über die gesamte Laufzeit</t>
  </si>
  <si>
    <t xml:space="preserve">Zinsen gesamt</t>
  </si>
  <si>
    <t xml:space="preserve">Summe aller Zinsanteile über die Laufzeit</t>
  </si>
  <si>
    <t xml:space="preserve">Gesamtaufwand</t>
  </si>
  <si>
    <t xml:space="preserve">Eigenkapitalbedarf plus alle Raten</t>
  </si>
  <si>
    <t xml:space="preserve">Modellrechnung ohne Gewähr. Konstante Konditionen über die gesamte Laufzeit unterstellt. Der Nebenkostensatz ist ein Erfahrungswert und variiert je Region und Objekt; maßgeblich sind die Steuersätze der jeweiligen autonomen Region bzw. Portugals zum Kaufzeitpunkt. Kein Effektivzins nach PAngV, keine Finanzierungszusage, keine Rechts- oder Steuerberatung.</t>
  </si>
  <si>
    <t xml:space="preserve">VERLAUF JE JAHR</t>
  </si>
  <si>
    <t xml:space="preserve">Jahr</t>
  </si>
  <si>
    <t xml:space="preserve">Restschuld Jahresbeginn</t>
  </si>
  <si>
    <t xml:space="preserve">Zins im Jahr</t>
  </si>
  <si>
    <t xml:space="preserve">Tilgung im Jahr</t>
  </si>
  <si>
    <t xml:space="preserve">Restschuld Jahresende</t>
  </si>
  <si>
    <t xml:space="preserve">So benutzen Sie diese Datei</t>
  </si>
  <si>
    <t xml:space="preserve">Gelbe Felder</t>
  </si>
  <si>
    <t xml:space="preserve">Nur die fünf gelben Zellen auf dem Blatt „Kaufkosten“ (B5 bis B9) sind Eingaben. Bei „Land“ wählen Sie ES oder PT — der Rest rechnet sich daraus.</t>
  </si>
  <si>
    <t xml:space="preserve">Beispielwerte</t>
  </si>
  <si>
    <t xml:space="preserve">Die Datei kommt mit einem Beispiel: 380.000 € Kaufpreis in Spanien, 115.000 € Eigenkapital, 3,10 % Sollzins, 25 Jahre.</t>
  </si>
  <si>
    <t xml:space="preserve">Der wichtigste Wert</t>
  </si>
  <si>
    <t xml:space="preserve">„Tatsächlicher Eigenkapitalbedarf“. Die Bank finanziert den Kaufpreis, nicht die Nebenkosten — die müssen zusätzlich flüssig sein. Genau daran scheitern die meisten Käufe kurz vor dem Notartermin.</t>
  </si>
  <si>
    <t xml:space="preserve">Beleihungsgrenze</t>
  </si>
  <si>
    <t xml:space="preserve">Für Nicht-Residenten sind in Spanien in der Regel 70 % des Kaufpreises möglich, in Portugal 80 %. Verlangt Ihre Rechnung mehr, deckelt die Datei das Darlehen und weist den höheren Eigenkapitalbedarf aus.</t>
  </si>
  <si>
    <t xml:space="preserve">Zinssatz</t>
  </si>
  <si>
    <t xml:space="preserve">Der Startwert ist bewusst neutral gewählt und keine Kondition. Was Sie tatsächlich bekommen, hängt von Objekt, Einkommen und Bank ab.</t>
  </si>
  <si>
    <t xml:space="preserve">Was die Datei NICHT tut</t>
  </si>
  <si>
    <t xml:space="preserve">Kein Effektivzins</t>
  </si>
  <si>
    <t xml:space="preserve">Gerechnet wird mit dem Sollzins. Der TAE/TAEG enthält zusätzlich Kosten und liegt darüber.</t>
  </si>
  <si>
    <t xml:space="preserve">Keine Regionalsteuer im Detail</t>
  </si>
  <si>
    <t xml:space="preserve">Der Nebenkostensatz ist ein Erfahrungswert. Die Grunderwerbsteuer unterscheidet sich je autonomer Region erheblich — auf den Kanaren anders als auf den Balearen oder in Andalusien. Für Portugal ist der IMT-Fixsatz für Nicht-Residenten eingerechnet.</t>
  </si>
  <si>
    <t xml:space="preserve">Keine Bauraten</t>
  </si>
  <si>
    <t xml:space="preserve">Beim Neubau zahlen Sie nach Baufortschritt. Das ist eine andere Struktur und in dieser Datei nicht abgebildet.</t>
  </si>
  <si>
    <t xml:space="preserve">Keine Zusage</t>
  </si>
  <si>
    <t xml:space="preserve">Modellrechnung ohne Gewähr. Verbindliche Konditionen nennt nur das Angebot der Bank.</t>
  </si>
  <si>
    <t xml:space="preserve">Fragen dazu?</t>
  </si>
  <si>
    <t xml:space="preserve">Siegfried Perini · Perini Finance &amp; Property · perini.es</t>
  </si>
  <si>
    <t xml:space="preserve">info@perini.es · Beratung auf Deutsch, Englisch, Russisch und Spanisch</t>
  </si>
  <si>
    <t xml:space="preserve">Erstgespräch kostenlos und unverbindlich. Spezialisiert auf Hypotheken für Nicht-Residenten in Spanien und Portugal.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</si>
</sst>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"/>
    <numFmt numFmtId="166" formatCode="@"/>
    <numFmt numFmtId="167" formatCode="0.00\ %"/>
    <numFmt numFmtId="168" formatCode="0"/>
    <numFmt numFmtId="169" formatCode="#,##0.00&quot; €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4C3A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F4C3A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F4C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4"/>
    <col collapsed="false" customWidth="true" hidden="false" outlineLevel="0" max="4" min="3" style="0" width="20"/>
    <col collapsed="false" customWidth="true" hidden="false" outlineLevel="0" max="5" min="5" style="0" width="24"/>
    <col collapsed="false" customWidth="true" hidden="false" outlineLevel="0" max="7" min="6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380000</v>
      </c>
      <c r="C5" s="2" t="s">
        <v>4</v>
      </c>
    </row>
    <row r="6" customFormat="false" ht="15" hidden="false" customHeight="false" outlineLevel="0" collapsed="false">
      <c r="A6" s="4" t="s">
        <v>5</v>
      </c>
      <c r="B6" s="6" t="s">
        <v>6</v>
      </c>
      <c r="C6" s="2" t="s">
        <v>7</v>
      </c>
    </row>
    <row r="7" customFormat="false" ht="15" hidden="false" customHeight="false" outlineLevel="0" collapsed="false">
      <c r="A7" s="4" t="s">
        <v>8</v>
      </c>
      <c r="B7" s="5" t="n">
        <v>115000</v>
      </c>
      <c r="C7" s="2" t="s">
        <v>9</v>
      </c>
    </row>
    <row r="8" customFormat="false" ht="15" hidden="false" customHeight="false" outlineLevel="0" collapsed="false">
      <c r="A8" s="4" t="s">
        <v>10</v>
      </c>
      <c r="B8" s="7" t="n">
        <v>0.031</v>
      </c>
      <c r="C8" s="2" t="s">
        <v>11</v>
      </c>
    </row>
    <row r="9" customFormat="false" ht="15" hidden="false" customHeight="false" outlineLevel="0" collapsed="false">
      <c r="A9" s="4" t="s">
        <v>12</v>
      </c>
      <c r="B9" s="8" t="n">
        <v>25</v>
      </c>
      <c r="C9" s="2" t="s">
        <v>13</v>
      </c>
    </row>
    <row r="11" customFormat="false" ht="15" hidden="false" customHeight="false" outlineLevel="0" collapsed="false">
      <c r="A11" s="3" t="s">
        <v>14</v>
      </c>
    </row>
    <row r="12" customFormat="false" ht="15" hidden="false" customHeight="false" outlineLevel="0" collapsed="false">
      <c r="A12" s="4" t="s">
        <v>15</v>
      </c>
      <c r="B12" s="9" t="n">
        <v>0.11</v>
      </c>
      <c r="C12" s="2" t="s">
        <v>16</v>
      </c>
    </row>
    <row r="13" customFormat="false" ht="15" hidden="false" customHeight="false" outlineLevel="0" collapsed="false">
      <c r="A13" s="4" t="s">
        <v>17</v>
      </c>
      <c r="B13" s="9" t="n">
        <v>0.1</v>
      </c>
      <c r="C13" s="2" t="s">
        <v>18</v>
      </c>
    </row>
    <row r="14" customFormat="false" ht="15" hidden="false" customHeight="false" outlineLevel="0" collapsed="false">
      <c r="A14" s="4" t="s">
        <v>19</v>
      </c>
      <c r="B14" s="9" t="n">
        <v>0.7</v>
      </c>
      <c r="C14" s="2" t="s">
        <v>20</v>
      </c>
    </row>
    <row r="15" customFormat="false" ht="15" hidden="false" customHeight="false" outlineLevel="0" collapsed="false">
      <c r="A15" s="4" t="s">
        <v>21</v>
      </c>
      <c r="B15" s="9" t="n">
        <v>0.8</v>
      </c>
      <c r="C15" s="2" t="s">
        <v>22</v>
      </c>
    </row>
    <row r="17" customFormat="false" ht="15" hidden="false" customHeight="false" outlineLevel="0" collapsed="false">
      <c r="A17" s="3" t="str">
        <f aca="false">IF($B$6="PT","Aktiv: Portugal — 10 % Nebenkosten, bis 80 % Beleihung","Aktiv: Spanien — 11 % Nebenkosten, bis 70 % Beleihung")</f>
        <v>Aktiv: Spanien — 11 % Nebenkosten, bis 70 % Beleihung</v>
      </c>
    </row>
    <row r="19" customFormat="false" ht="15" hidden="false" customHeight="false" outlineLevel="0" collapsed="false">
      <c r="A19" s="3" t="s">
        <v>23</v>
      </c>
    </row>
    <row r="20" customFormat="false" ht="15" hidden="false" customHeight="false" outlineLevel="0" collapsed="false">
      <c r="A20" s="4" t="s">
        <v>24</v>
      </c>
      <c r="B20" s="10" t="n">
        <f aca="false">$B$5*IF($B$6="PT",$B$13,$B$12)</f>
        <v>41800</v>
      </c>
      <c r="C20" s="2" t="s">
        <v>25</v>
      </c>
    </row>
    <row r="21" customFormat="false" ht="15" hidden="false" customHeight="false" outlineLevel="0" collapsed="false">
      <c r="A21" s="4" t="s">
        <v>26</v>
      </c>
      <c r="B21" s="10" t="n">
        <f aca="false">$B$5+B20</f>
        <v>421800</v>
      </c>
      <c r="C21" s="2" t="s">
        <v>27</v>
      </c>
    </row>
    <row r="22" customFormat="false" ht="15" hidden="false" customHeight="false" outlineLevel="0" collapsed="false">
      <c r="A22" s="4" t="s">
        <v>28</v>
      </c>
      <c r="B22" s="10" t="n">
        <f aca="false">MIN(MAX($B$5-$B$7,0),$B$5*IF($B$6="PT",$B$15,$B$14))</f>
        <v>265000</v>
      </c>
      <c r="C22" s="2" t="s">
        <v>29</v>
      </c>
    </row>
    <row r="23" customFormat="false" ht="15" hidden="false" customHeight="false" outlineLevel="0" collapsed="false">
      <c r="A23" s="4" t="s">
        <v>30</v>
      </c>
      <c r="B23" s="11" t="n">
        <f aca="false">IF($B$5&gt;0,$B$22/$B$5,0)</f>
        <v>0.697368421052632</v>
      </c>
      <c r="C23" s="2" t="s">
        <v>31</v>
      </c>
    </row>
    <row r="24" customFormat="false" ht="15" hidden="false" customHeight="false" outlineLevel="0" collapsed="false">
      <c r="A24" s="4" t="s">
        <v>32</v>
      </c>
      <c r="B24" s="10" t="n">
        <f aca="false">$B$5-$B$22+B20</f>
        <v>156800</v>
      </c>
      <c r="C24" s="2" t="s">
        <v>33</v>
      </c>
    </row>
    <row r="25" customFormat="false" ht="15" hidden="false" customHeight="false" outlineLevel="0" collapsed="false">
      <c r="A25" s="4" t="s">
        <v>34</v>
      </c>
      <c r="B25" s="10" t="n">
        <f aca="false">IF(OR($B$22&lt;=0,$B$9&lt;=0),0,IF($B$8=0,$B$22/($B$9*12),$B$22*($B$8/12)/(1-(1+$B$8/12)^(-$B$9*12))))</f>
        <v>1270.48646370774</v>
      </c>
      <c r="C25" s="2" t="s">
        <v>35</v>
      </c>
    </row>
    <row r="26" customFormat="false" ht="15" hidden="false" customHeight="false" outlineLevel="0" collapsed="false">
      <c r="A26" s="4" t="s">
        <v>36</v>
      </c>
      <c r="B26" s="10" t="n">
        <f aca="false">MAX(B25*$B$9*12-$B$22,0)</f>
        <v>116145.939112323</v>
      </c>
      <c r="C26" s="2" t="s">
        <v>37</v>
      </c>
    </row>
    <row r="27" customFormat="false" ht="15" hidden="false" customHeight="false" outlineLevel="0" collapsed="false">
      <c r="A27" s="4" t="s">
        <v>38</v>
      </c>
      <c r="B27" s="10" t="n">
        <f aca="false">B24+B25*$B$9*12</f>
        <v>537945.939112323</v>
      </c>
      <c r="C27" s="2" t="s">
        <v>39</v>
      </c>
    </row>
    <row r="29" customFormat="false" ht="15" hidden="false" customHeight="false" outlineLevel="0" collapsed="false">
      <c r="A29" s="12" t="str">
        <f aca="false">IF(MAX($B$5-$B$7,0)&gt;$B$5*IF($B$6="PT",$B$15,$B$14),"Achtung: Ihr Eigenkapital reicht für diese Beleihungsgrenze nicht aus — das Darlehen ist oben gedeckelt, der Eigenkapitalbedarf steigt entsprechend.","Ihr Eigenkapital liegt innerhalb der Beleihungsgrenze.")</f>
        <v>Ihr Eigenkapital liegt innerhalb der Beleihungsgrenze.</v>
      </c>
      <c r="B29" s="12"/>
      <c r="C29" s="12"/>
      <c r="D29" s="12"/>
      <c r="E29" s="12"/>
      <c r="F29" s="12"/>
      <c r="G29" s="12"/>
    </row>
    <row r="31" customFormat="false" ht="15" hidden="false" customHeight="true" outlineLevel="0" collapsed="false">
      <c r="A31" s="13" t="s">
        <v>40</v>
      </c>
      <c r="B31" s="13"/>
      <c r="C31" s="13"/>
      <c r="D31" s="13"/>
      <c r="E31" s="13"/>
      <c r="F31" s="13"/>
      <c r="G31" s="13"/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</row>
    <row r="36" customFormat="false" ht="15" hidden="false" customHeight="false" outlineLevel="0" collapsed="false">
      <c r="A36" s="3" t="s">
        <v>41</v>
      </c>
    </row>
    <row r="37" customFormat="false" ht="15" hidden="false" customHeight="false" outlineLevel="0" collapsed="false">
      <c r="A37" s="14" t="s">
        <v>42</v>
      </c>
      <c r="B37" s="14" t="s">
        <v>43</v>
      </c>
      <c r="C37" s="14" t="s">
        <v>44</v>
      </c>
      <c r="D37" s="14" t="s">
        <v>45</v>
      </c>
      <c r="E37" s="14" t="s">
        <v>46</v>
      </c>
    </row>
    <row r="38" customFormat="false" ht="15" hidden="false" customHeight="false" outlineLevel="0" collapsed="false">
      <c r="A38" s="15" t="n">
        <v>1</v>
      </c>
      <c r="B38" s="16" t="n">
        <f aca="false">$B$22</f>
        <v>265000</v>
      </c>
      <c r="C38" s="16" t="n">
        <f aca="false">IF(B38&lt;=0,0,$B$25*12-D38)</f>
        <v>8114.23827579368</v>
      </c>
      <c r="D38" s="16" t="n">
        <f aca="false">IF(B38&lt;=0,0,B38-E38)</f>
        <v>7131.59928869922</v>
      </c>
      <c r="E38" s="16" t="n">
        <f aca="false">IF(OR(1&gt;$B$9,B38&lt;=0),0,IF($B$8=0,MAX(B38-$B$25*12,0),MAX(B38*(1+$B$8/12)^12-$B$25*((1+$B$8/12)^12-1)/($B$8/12),0)))</f>
        <v>257868.400711301</v>
      </c>
    </row>
    <row r="39" customFormat="false" ht="15" hidden="false" customHeight="false" outlineLevel="0" collapsed="false">
      <c r="A39" s="15" t="n">
        <v>2</v>
      </c>
      <c r="B39" s="16" t="n">
        <f aca="false">E38</f>
        <v>257868.400711301</v>
      </c>
      <c r="C39" s="16" t="n">
        <f aca="false">IF(B39&lt;=0,0,$B$25*12-D39)</f>
        <v>7889.99031864929</v>
      </c>
      <c r="D39" s="16" t="n">
        <f aca="false">IF(B39&lt;=0,0,B39-E39)</f>
        <v>7355.84724584362</v>
      </c>
      <c r="E39" s="16" t="n">
        <f aca="false">IF(OR(2&gt;$B$9,B39&lt;=0),0,IF($B$8=0,MAX(B39-$B$25*12,0),MAX(B39*(1+$B$8/12)^12-$B$25*((1+$B$8/12)^12-1)/($B$8/12),0)))</f>
        <v>250512.553465457</v>
      </c>
    </row>
    <row r="40" customFormat="false" ht="15" hidden="false" customHeight="false" outlineLevel="0" collapsed="false">
      <c r="A40" s="15" t="n">
        <v>3</v>
      </c>
      <c r="B40" s="16" t="n">
        <f aca="false">E39</f>
        <v>250512.553465457</v>
      </c>
      <c r="C40" s="16" t="n">
        <f aca="false">IF(B40&lt;=0,0,$B$25*12-D40)</f>
        <v>7658.69104745202</v>
      </c>
      <c r="D40" s="16" t="n">
        <f aca="false">IF(B40&lt;=0,0,B40-E40)</f>
        <v>7587.14651704088</v>
      </c>
      <c r="E40" s="16" t="n">
        <f aca="false">IF(OR(3&gt;$B$9,B40&lt;=0),0,IF($B$8=0,MAX(B40-$B$25*12,0),MAX(B40*(1+$B$8/12)^12-$B$25*((1+$B$8/12)^12-1)/($B$8/12),0)))</f>
        <v>242925.406948416</v>
      </c>
    </row>
    <row r="41" customFormat="false" ht="15" hidden="false" customHeight="false" outlineLevel="0" collapsed="false">
      <c r="A41" s="15" t="n">
        <v>4</v>
      </c>
      <c r="B41" s="16" t="n">
        <f aca="false">E40</f>
        <v>242925.406948416</v>
      </c>
      <c r="C41" s="16" t="n">
        <f aca="false">IF(B41&lt;=0,0,$B$25*12-D41)</f>
        <v>7420.11873875571</v>
      </c>
      <c r="D41" s="16" t="n">
        <f aca="false">IF(B41&lt;=0,0,B41-E41)</f>
        <v>7825.71882573719</v>
      </c>
      <c r="E41" s="16" t="n">
        <f aca="false">IF(OR(4&gt;$B$9,B41&lt;=0),0,IF($B$8=0,MAX(B41-$B$25*12,0),MAX(B41*(1+$B$8/12)^12-$B$25*((1+$B$8/12)^12-1)/($B$8/12),0)))</f>
        <v>235099.688122679</v>
      </c>
    </row>
    <row r="42" customFormat="false" ht="15" hidden="false" customHeight="false" outlineLevel="0" collapsed="false">
      <c r="A42" s="15" t="n">
        <v>5</v>
      </c>
      <c r="B42" s="16" t="n">
        <f aca="false">E41</f>
        <v>235099.688122679</v>
      </c>
      <c r="C42" s="16" t="n">
        <f aca="false">IF(B42&lt;=0,0,$B$25*12-D42)</f>
        <v>7174.04469718148</v>
      </c>
      <c r="D42" s="16" t="n">
        <f aca="false">IF(B42&lt;=0,0,B42-E42)</f>
        <v>8071.79286731142</v>
      </c>
      <c r="E42" s="16" t="n">
        <f aca="false">IF(OR(5&gt;$B$9,B42&lt;=0),0,IF($B$8=0,MAX(B42-$B$25*12,0),MAX(B42*(1+$B$8/12)^12-$B$25*((1+$B$8/12)^12-1)/($B$8/12),0)))</f>
        <v>227027.895255368</v>
      </c>
    </row>
    <row r="43" customFormat="false" ht="15" hidden="false" customHeight="false" outlineLevel="0" collapsed="false">
      <c r="A43" s="15" t="n">
        <v>6</v>
      </c>
      <c r="B43" s="16" t="n">
        <f aca="false">E42</f>
        <v>227027.895255368</v>
      </c>
      <c r="C43" s="16" t="n">
        <f aca="false">IF(B43&lt;=0,0,$B$25*12-D43)</f>
        <v>6920.2330361904</v>
      </c>
      <c r="D43" s="16" t="n">
        <f aca="false">IF(B43&lt;=0,0,B43-E43)</f>
        <v>8325.6045283025</v>
      </c>
      <c r="E43" s="16" t="n">
        <f aca="false">IF(OR(6&gt;$B$9,B43&lt;=0),0,IF($B$8=0,MAX(B43-$B$25*12,0),MAX(B43*(1+$B$8/12)^12-$B$25*((1+$B$8/12)^12-1)/($B$8/12),0)))</f>
        <v>218702.290727065</v>
      </c>
    </row>
    <row r="44" customFormat="false" ht="15" hidden="false" customHeight="false" outlineLevel="0" collapsed="false">
      <c r="A44" s="15" t="n">
        <v>7</v>
      </c>
      <c r="B44" s="16" t="n">
        <f aca="false">E43</f>
        <v>218702.290727065</v>
      </c>
      <c r="C44" s="16" t="n">
        <f aca="false">IF(B44&lt;=0,0,$B$25*12-D44)</f>
        <v>6658.4404519628</v>
      </c>
      <c r="D44" s="16" t="n">
        <f aca="false">IF(B44&lt;=0,0,B44-E44)</f>
        <v>8587.3971125301</v>
      </c>
      <c r="E44" s="16" t="n">
        <f aca="false">IF(OR(7&gt;$B$9,B44&lt;=0),0,IF($B$8=0,MAX(B44-$B$25*12,0),MAX(B44*(1+$B$8/12)^12-$B$25*((1+$B$8/12)^12-1)/($B$8/12),0)))</f>
        <v>210114.893614535</v>
      </c>
    </row>
    <row r="45" customFormat="false" ht="15" hidden="false" customHeight="false" outlineLevel="0" collapsed="false">
      <c r="A45" s="15" t="n">
        <v>8</v>
      </c>
      <c r="B45" s="16" t="n">
        <f aca="false">E44</f>
        <v>210114.893614535</v>
      </c>
      <c r="C45" s="16" t="n">
        <f aca="false">IF(B45&lt;=0,0,$B$25*12-D45)</f>
        <v>6388.41599016722</v>
      </c>
      <c r="D45" s="16" t="n">
        <f aca="false">IF(B45&lt;=0,0,B45-E45)</f>
        <v>8857.42157432568</v>
      </c>
      <c r="E45" s="16" t="n">
        <f aca="false">IF(OR(8&gt;$B$9,B45&lt;=0),0,IF($B$8=0,MAX(B45-$B$25*12,0),MAX(B45*(1+$B$8/12)^12-$B$25*((1+$B$8/12)^12-1)/($B$8/12),0)))</f>
        <v>201257.472040209</v>
      </c>
    </row>
    <row r="46" customFormat="false" ht="15" hidden="false" customHeight="false" outlineLevel="0" collapsed="false">
      <c r="A46" s="15" t="n">
        <v>9</v>
      </c>
      <c r="B46" s="16" t="n">
        <f aca="false">E45</f>
        <v>201257.472040209</v>
      </c>
      <c r="C46" s="16" t="n">
        <f aca="false">IF(B46&lt;=0,0,$B$25*12-D46)</f>
        <v>6109.90080539554</v>
      </c>
      <c r="D46" s="16" t="n">
        <f aca="false">IF(B46&lt;=0,0,B46-E46)</f>
        <v>9135.93675909736</v>
      </c>
      <c r="E46" s="16" t="n">
        <f aca="false">IF(OR(9&gt;$B$9,B46&lt;=0),0,IF($B$8=0,MAX(B46-$B$25*12,0),MAX(B46*(1+$B$8/12)^12-$B$25*((1+$B$8/12)^12-1)/($B$8/12),0)))</f>
        <v>192121.535281112</v>
      </c>
    </row>
    <row r="47" customFormat="false" ht="15" hidden="false" customHeight="false" outlineLevel="0" collapsed="false">
      <c r="A47" s="15" t="n">
        <v>10</v>
      </c>
      <c r="B47" s="16" t="n">
        <f aca="false">E46</f>
        <v>192121.535281112</v>
      </c>
      <c r="C47" s="16" t="n">
        <f aca="false">IF(B47&lt;=0,0,$B$25*12-D47)</f>
        <v>5822.62791303401</v>
      </c>
      <c r="D47" s="16" t="n">
        <f aca="false">IF(B47&lt;=0,0,B47-E47)</f>
        <v>9423.20965145889</v>
      </c>
      <c r="E47" s="16" t="n">
        <f aca="false">IF(OR(10&gt;$B$9,B47&lt;=0),0,IF($B$8=0,MAX(B47-$B$25*12,0),MAX(B47*(1+$B$8/12)^12-$B$25*((1+$B$8/12)^12-1)/($B$8/12),0)))</f>
        <v>182698.325629653</v>
      </c>
    </row>
    <row r="48" customFormat="false" ht="15" hidden="false" customHeight="false" outlineLevel="0" collapsed="false">
      <c r="A48" s="15" t="n">
        <v>11</v>
      </c>
      <c r="B48" s="16" t="n">
        <f aca="false">E47</f>
        <v>182698.325629653</v>
      </c>
      <c r="C48" s="16" t="n">
        <f aca="false">IF(B48&lt;=0,0,$B$25*12-D48)</f>
        <v>5526.32193333156</v>
      </c>
      <c r="D48" s="16" t="n">
        <f aca="false">IF(B48&lt;=0,0,B48-E48)</f>
        <v>9719.51563116134</v>
      </c>
      <c r="E48" s="16" t="n">
        <f aca="false">IF(OR(11&gt;$B$9,B48&lt;=0),0,IF($B$8=0,MAX(B48-$B$25*12,0),MAX(B48*(1+$B$8/12)^12-$B$25*((1+$B$8/12)^12-1)/($B$8/12),0)))</f>
        <v>172978.809998492</v>
      </c>
    </row>
    <row r="49" customFormat="false" ht="15" hidden="false" customHeight="false" outlineLevel="0" collapsed="false">
      <c r="A49" s="15" t="n">
        <v>12</v>
      </c>
      <c r="B49" s="16" t="n">
        <f aca="false">E48</f>
        <v>172978.809998492</v>
      </c>
      <c r="C49" s="16" t="n">
        <f aca="false">IF(B49&lt;=0,0,$B$25*12-D49)</f>
        <v>5220.69882742107</v>
      </c>
      <c r="D49" s="16" t="n">
        <f aca="false">IF(B49&lt;=0,0,B49-E49)</f>
        <v>10025.1387370718</v>
      </c>
      <c r="E49" s="16" t="n">
        <f aca="false">IF(OR(12&gt;$B$9,B49&lt;=0),0,IF($B$8=0,MAX(B49-$B$25*12,0),MAX(B49*(1+$B$8/12)^12-$B$25*((1+$B$8/12)^12-1)/($B$8/12),0)))</f>
        <v>162953.67126142</v>
      </c>
    </row>
    <row r="50" customFormat="false" ht="15" hidden="false" customHeight="false" outlineLevel="0" collapsed="false">
      <c r="A50" s="15" t="n">
        <v>13</v>
      </c>
      <c r="B50" s="16" t="n">
        <f aca="false">E49</f>
        <v>162953.67126142</v>
      </c>
      <c r="C50" s="16" t="n">
        <f aca="false">IF(B50&lt;=0,0,$B$25*12-D50)</f>
        <v>4905.46562503963</v>
      </c>
      <c r="D50" s="16" t="n">
        <f aca="false">IF(B50&lt;=0,0,B50-E50)</f>
        <v>10340.3719394533</v>
      </c>
      <c r="E50" s="16" t="n">
        <f aca="false">IF(OR(13&gt;$B$9,B50&lt;=0),0,IF($B$8=0,MAX(B50-$B$25*12,0),MAX(B50*(1+$B$8/12)^12-$B$25*((1+$B$8/12)^12-1)/($B$8/12),0)))</f>
        <v>152613.299321967</v>
      </c>
    </row>
    <row r="51" customFormat="false" ht="15" hidden="false" customHeight="false" outlineLevel="0" collapsed="false">
      <c r="A51" s="15" t="n">
        <v>14</v>
      </c>
      <c r="B51" s="16" t="n">
        <f aca="false">E50</f>
        <v>152613.299321967</v>
      </c>
      <c r="C51" s="16" t="n">
        <f aca="false">IF(B51&lt;=0,0,$B$25*12-D51)</f>
        <v>4580.32014368732</v>
      </c>
      <c r="D51" s="16" t="n">
        <f aca="false">IF(B51&lt;=0,0,B51-E51)</f>
        <v>10665.5174208056</v>
      </c>
      <c r="E51" s="16" t="n">
        <f aca="false">IF(OR(14&gt;$B$9,B51&lt;=0),0,IF($B$8=0,MAX(B51-$B$25*12,0),MAX(B51*(1+$B$8/12)^12-$B$25*((1+$B$8/12)^12-1)/($B$8/12),0)))</f>
        <v>141947.781901161</v>
      </c>
    </row>
    <row r="52" customFormat="false" ht="15" hidden="false" customHeight="false" outlineLevel="0" collapsed="false">
      <c r="A52" s="15" t="n">
        <v>15</v>
      </c>
      <c r="B52" s="16" t="n">
        <f aca="false">E51</f>
        <v>141947.781901161</v>
      </c>
      <c r="C52" s="16" t="n">
        <f aca="false">IF(B52&lt;=0,0,$B$25*12-D52)</f>
        <v>4244.95069895505</v>
      </c>
      <c r="D52" s="16" t="n">
        <f aca="false">IF(B52&lt;=0,0,B52-E52)</f>
        <v>11000.8868655378</v>
      </c>
      <c r="E52" s="16" t="n">
        <f aca="false">IF(OR(15&gt;$B$9,B52&lt;=0),0,IF($B$8=0,MAX(B52-$B$25*12,0),MAX(B52*(1+$B$8/12)^12-$B$25*((1+$B$8/12)^12-1)/($B$8/12),0)))</f>
        <v>130946.895035623</v>
      </c>
    </row>
    <row r="53" customFormat="false" ht="15" hidden="false" customHeight="false" outlineLevel="0" collapsed="false">
      <c r="A53" s="15" t="n">
        <v>16</v>
      </c>
      <c r="B53" s="16" t="n">
        <f aca="false">E52</f>
        <v>130946.895035623</v>
      </c>
      <c r="C53" s="16" t="n">
        <f aca="false">IF(B53&lt;=0,0,$B$25*12-D53)</f>
        <v>3899.0358057441</v>
      </c>
      <c r="D53" s="16" t="n">
        <f aca="false">IF(B53&lt;=0,0,B53-E53)</f>
        <v>11346.8017587488</v>
      </c>
      <c r="E53" s="16" t="n">
        <f aca="false">IF(OR(16&gt;$B$9,B53&lt;=0),0,IF($B$8=0,MAX(B53-$B$25*12,0),MAX(B53*(1+$B$8/12)^12-$B$25*((1+$B$8/12)^12-1)/($B$8/12),0)))</f>
        <v>119600.093276874</v>
      </c>
    </row>
    <row r="54" customFormat="false" ht="15" hidden="false" customHeight="false" outlineLevel="0" collapsed="false">
      <c r="A54" s="15" t="n">
        <v>17</v>
      </c>
      <c r="B54" s="16" t="n">
        <f aca="false">E53</f>
        <v>119600.093276874</v>
      </c>
      <c r="C54" s="16" t="n">
        <f aca="false">IF(B54&lt;=0,0,$B$25*12-D54)</f>
        <v>3542.2438700903</v>
      </c>
      <c r="D54" s="16" t="n">
        <f aca="false">IF(B54&lt;=0,0,B54-E54)</f>
        <v>11703.5936944026</v>
      </c>
      <c r="E54" s="16" t="n">
        <f aca="false">IF(OR(17&gt;$B$9,B54&lt;=0),0,IF($B$8=0,MAX(B54-$B$25*12,0),MAX(B54*(1+$B$8/12)^12-$B$25*((1+$B$8/12)^12-1)/($B$8/12),0)))</f>
        <v>107896.499582472</v>
      </c>
    </row>
    <row r="55" customFormat="false" ht="15" hidden="false" customHeight="false" outlineLevel="0" collapsed="false">
      <c r="A55" s="15" t="n">
        <v>18</v>
      </c>
      <c r="B55" s="16" t="n">
        <f aca="false">E54</f>
        <v>107896.499582472</v>
      </c>
      <c r="C55" s="16" t="n">
        <f aca="false">IF(B55&lt;=0,0,$B$25*12-D55)</f>
        <v>3174.23287129835</v>
      </c>
      <c r="D55" s="16" t="n">
        <f aca="false">IF(B55&lt;=0,0,B55-E55)</f>
        <v>12071.6046931945</v>
      </c>
      <c r="E55" s="16" t="n">
        <f aca="false">IF(OR(18&gt;$B$9,B55&lt;=0),0,IF($B$8=0,MAX(B55-$B$25*12,0),MAX(B55*(1+$B$8/12)^12-$B$25*((1+$B$8/12)^12-1)/($B$8/12),0)))</f>
        <v>95824.8948892773</v>
      </c>
    </row>
    <row r="56" customFormat="false" ht="15" hidden="false" customHeight="false" outlineLevel="0" collapsed="false">
      <c r="A56" s="15" t="n">
        <v>19</v>
      </c>
      <c r="B56" s="16" t="n">
        <f aca="false">E55</f>
        <v>95824.8948892773</v>
      </c>
      <c r="C56" s="16" t="n">
        <f aca="false">IF(B56&lt;=0,0,$B$25*12-D56)</f>
        <v>2794.65003408068</v>
      </c>
      <c r="D56" s="16" t="n">
        <f aca="false">IF(B56&lt;=0,0,B56-E56)</f>
        <v>12451.1875304122</v>
      </c>
      <c r="E56" s="16" t="n">
        <f aca="false">IF(OR(19&gt;$B$9,B56&lt;=0),0,IF($B$8=0,MAX(B56-$B$25*12,0),MAX(B56*(1+$B$8/12)^12-$B$25*((1+$B$8/12)^12-1)/($B$8/12),0)))</f>
        <v>83373.7073588651</v>
      </c>
    </row>
    <row r="57" customFormat="false" ht="15" hidden="false" customHeight="false" outlineLevel="0" collapsed="false">
      <c r="A57" s="15" t="n">
        <v>20</v>
      </c>
      <c r="B57" s="16" t="n">
        <f aca="false">E56</f>
        <v>83373.7073588651</v>
      </c>
      <c r="C57" s="16" t="n">
        <f aca="false">IF(B57&lt;=0,0,$B$25*12-D57)</f>
        <v>2403.13149038718</v>
      </c>
      <c r="D57" s="16" t="n">
        <f aca="false">IF(B57&lt;=0,0,B57-E57)</f>
        <v>12842.7060741057</v>
      </c>
      <c r="E57" s="16" t="n">
        <f aca="false">IF(OR(20&gt;$B$9,B57&lt;=0),0,IF($B$8=0,MAX(B57-$B$25*12,0),MAX(B57*(1+$B$8/12)^12-$B$25*((1+$B$8/12)^12-1)/($B$8/12),0)))</f>
        <v>70531.0012847594</v>
      </c>
    </row>
    <row r="58" customFormat="false" ht="15" hidden="false" customHeight="false" outlineLevel="0" collapsed="false">
      <c r="A58" s="15" t="n">
        <v>21</v>
      </c>
      <c r="B58" s="16" t="n">
        <f aca="false">E57</f>
        <v>70531.0012847594</v>
      </c>
      <c r="C58" s="16" t="n">
        <f aca="false">IF(B58&lt;=0,0,$B$25*12-D58)</f>
        <v>1999.30193060132</v>
      </c>
      <c r="D58" s="16" t="n">
        <f aca="false">IF(B58&lt;=0,0,B58-E58)</f>
        <v>13246.5356338916</v>
      </c>
      <c r="E58" s="16" t="n">
        <f aca="false">IF(OR(21&gt;$B$9,B58&lt;=0),0,IF($B$8=0,MAX(B58-$B$25*12,0),MAX(B58*(1+$B$8/12)^12-$B$25*((1+$B$8/12)^12-1)/($B$8/12),0)))</f>
        <v>57284.4656508678</v>
      </c>
    </row>
    <row r="59" customFormat="false" ht="15" hidden="false" customHeight="false" outlineLevel="0" collapsed="false">
      <c r="A59" s="15" t="n">
        <v>22</v>
      </c>
      <c r="B59" s="16" t="n">
        <f aca="false">E58</f>
        <v>57284.4656508678</v>
      </c>
      <c r="C59" s="16" t="n">
        <f aca="false">IF(B59&lt;=0,0,$B$25*12-D59)</f>
        <v>1582.77424376842</v>
      </c>
      <c r="D59" s="16" t="n">
        <f aca="false">IF(B59&lt;=0,0,B59-E59)</f>
        <v>13663.0633207245</v>
      </c>
      <c r="E59" s="16" t="n">
        <f aca="false">IF(OR(22&gt;$B$9,B59&lt;=0),0,IF($B$8=0,MAX(B59-$B$25*12,0),MAX(B59*(1+$B$8/12)^12-$B$25*((1+$B$8/12)^12-1)/($B$8/12),0)))</f>
        <v>43621.4023301433</v>
      </c>
    </row>
    <row r="60" customFormat="false" ht="15" hidden="false" customHeight="false" outlineLevel="0" collapsed="false">
      <c r="A60" s="15" t="n">
        <v>23</v>
      </c>
      <c r="B60" s="16" t="n">
        <f aca="false">E59</f>
        <v>43621.4023301433</v>
      </c>
      <c r="C60" s="16" t="n">
        <f aca="false">IF(B60&lt;=0,0,$B$25*12-D60)</f>
        <v>1153.14914651113</v>
      </c>
      <c r="D60" s="16" t="n">
        <f aca="false">IF(B60&lt;=0,0,B60-E60)</f>
        <v>14092.6884179818</v>
      </c>
      <c r="E60" s="16" t="n">
        <f aca="false">IF(OR(23&gt;$B$9,B60&lt;=0),0,IF($B$8=0,MAX(B60-$B$25*12,0),MAX(B60*(1+$B$8/12)^12-$B$25*((1+$B$8/12)^12-1)/($B$8/12),0)))</f>
        <v>29528.7139121616</v>
      </c>
    </row>
    <row r="61" customFormat="false" ht="15" hidden="false" customHeight="false" outlineLevel="0" collapsed="false">
      <c r="A61" s="15" t="n">
        <v>24</v>
      </c>
      <c r="B61" s="16" t="n">
        <f aca="false">E60</f>
        <v>29528.7139121616</v>
      </c>
      <c r="C61" s="16" t="n">
        <f aca="false">IF(B61&lt;=0,0,$B$25*12-D61)</f>
        <v>710.014800276467</v>
      </c>
      <c r="D61" s="16" t="n">
        <f aca="false">IF(B61&lt;=0,0,B61-E61)</f>
        <v>14535.8227642164</v>
      </c>
      <c r="E61" s="16" t="n">
        <f aca="false">IF(OR(24&gt;$B$9,B61&lt;=0),0,IF($B$8=0,MAX(B61-$B$25*12,0),MAX(B61*(1+$B$8/12)^12-$B$25*((1+$B$8/12)^12-1)/($B$8/12),0)))</f>
        <v>14992.8911479451</v>
      </c>
    </row>
    <row r="62" customFormat="false" ht="15" hidden="false" customHeight="false" outlineLevel="0" collapsed="false">
      <c r="A62" s="15" t="n">
        <v>25</v>
      </c>
      <c r="B62" s="16" t="n">
        <f aca="false">E61</f>
        <v>14992.8911479451</v>
      </c>
      <c r="C62" s="16" t="n">
        <f aca="false">IF(B62&lt;=0,0,$B$25*12-D62)</f>
        <v>252.946416547778</v>
      </c>
      <c r="D62" s="16" t="n">
        <f aca="false">IF(B62&lt;=0,0,B62-E62)</f>
        <v>14992.8911479451</v>
      </c>
      <c r="E62" s="16" t="n">
        <f aca="false">IF(OR(25&gt;$B$9,B62&lt;=0),0,IF($B$8=0,MAX(B62-$B$25*12,0),MAX(B62*(1+$B$8/12)^12-$B$25*((1+$B$8/12)^12-1)/($B$8/12),0)))</f>
        <v>0</v>
      </c>
    </row>
    <row r="63" customFormat="false" ht="15" hidden="false" customHeight="false" outlineLevel="0" collapsed="false">
      <c r="A63" s="15" t="n">
        <v>26</v>
      </c>
      <c r="B63" s="16" t="n">
        <f aca="false">E62</f>
        <v>0</v>
      </c>
      <c r="C63" s="16" t="n">
        <f aca="false">IF(B63&lt;=0,0,$B$25*12-D63)</f>
        <v>0</v>
      </c>
      <c r="D63" s="16" t="n">
        <f aca="false">IF(B63&lt;=0,0,B63-E63)</f>
        <v>0</v>
      </c>
      <c r="E63" s="16" t="n">
        <f aca="false">IF(OR(26&gt;$B$9,B63&lt;=0),0,IF($B$8=0,MAX(B63-$B$25*12,0),MAX(B63*(1+$B$8/12)^12-$B$25*((1+$B$8/12)^12-1)/($B$8/12),0)))</f>
        <v>0</v>
      </c>
    </row>
    <row r="64" customFormat="false" ht="15" hidden="false" customHeight="false" outlineLevel="0" collapsed="false">
      <c r="A64" s="15" t="n">
        <v>27</v>
      </c>
      <c r="B64" s="16" t="n">
        <f aca="false">E63</f>
        <v>0</v>
      </c>
      <c r="C64" s="16" t="n">
        <f aca="false">IF(B64&lt;=0,0,$B$25*12-D64)</f>
        <v>0</v>
      </c>
      <c r="D64" s="16" t="n">
        <f aca="false">IF(B64&lt;=0,0,B64-E64)</f>
        <v>0</v>
      </c>
      <c r="E64" s="16" t="n">
        <f aca="false">IF(OR(27&gt;$B$9,B64&lt;=0),0,IF($B$8=0,MAX(B64-$B$25*12,0),MAX(B64*(1+$B$8/12)^12-$B$25*((1+$B$8/12)^12-1)/($B$8/12),0)))</f>
        <v>0</v>
      </c>
    </row>
    <row r="65" customFormat="false" ht="15" hidden="false" customHeight="false" outlineLevel="0" collapsed="false">
      <c r="A65" s="15" t="n">
        <v>28</v>
      </c>
      <c r="B65" s="16" t="n">
        <f aca="false">E64</f>
        <v>0</v>
      </c>
      <c r="C65" s="16" t="n">
        <f aca="false">IF(B65&lt;=0,0,$B$25*12-D65)</f>
        <v>0</v>
      </c>
      <c r="D65" s="16" t="n">
        <f aca="false">IF(B65&lt;=0,0,B65-E65)</f>
        <v>0</v>
      </c>
      <c r="E65" s="16" t="n">
        <f aca="false">IF(OR(28&gt;$B$9,B65&lt;=0),0,IF($B$8=0,MAX(B65-$B$25*12,0),MAX(B65*(1+$B$8/12)^12-$B$25*((1+$B$8/12)^12-1)/($B$8/12),0)))</f>
        <v>0</v>
      </c>
    </row>
    <row r="66" customFormat="false" ht="15" hidden="false" customHeight="false" outlineLevel="0" collapsed="false">
      <c r="A66" s="15" t="n">
        <v>29</v>
      </c>
      <c r="B66" s="16" t="n">
        <f aca="false">E65</f>
        <v>0</v>
      </c>
      <c r="C66" s="16" t="n">
        <f aca="false">IF(B66&lt;=0,0,$B$25*12-D66)</f>
        <v>0</v>
      </c>
      <c r="D66" s="16" t="n">
        <f aca="false">IF(B66&lt;=0,0,B66-E66)</f>
        <v>0</v>
      </c>
      <c r="E66" s="16" t="n">
        <f aca="false">IF(OR(29&gt;$B$9,B66&lt;=0),0,IF($B$8=0,MAX(B66-$B$25*12,0),MAX(B66*(1+$B$8/12)^12-$B$25*((1+$B$8/12)^12-1)/($B$8/12),0)))</f>
        <v>0</v>
      </c>
    </row>
    <row r="67" customFormat="false" ht="15" hidden="false" customHeight="false" outlineLevel="0" collapsed="false">
      <c r="A67" s="15" t="n">
        <v>30</v>
      </c>
      <c r="B67" s="16" t="n">
        <f aca="false">E66</f>
        <v>0</v>
      </c>
      <c r="C67" s="16" t="n">
        <f aca="false">IF(B67&lt;=0,0,$B$25*12-D67)</f>
        <v>0</v>
      </c>
      <c r="D67" s="16" t="n">
        <f aca="false">IF(B67&lt;=0,0,B67-E67)</f>
        <v>0</v>
      </c>
      <c r="E67" s="16" t="n">
        <f aca="false">IF(OR(30&gt;$B$9,B67&lt;=0),0,IF($B$8=0,MAX(B67-$B$25*12,0),MAX(B67*(1+$B$8/12)^12-$B$25*((1+$B$8/12)^12-1)/($B$8/12),0)))</f>
        <v>0</v>
      </c>
    </row>
    <row r="68" customFormat="false" ht="15" hidden="false" customHeight="false" outlineLevel="0" collapsed="false">
      <c r="A68" s="15" t="n">
        <v>31</v>
      </c>
      <c r="B68" s="16" t="n">
        <f aca="false">E67</f>
        <v>0</v>
      </c>
      <c r="C68" s="16" t="n">
        <f aca="false">IF(B68&lt;=0,0,$B$25*12-D68)</f>
        <v>0</v>
      </c>
      <c r="D68" s="16" t="n">
        <f aca="false">IF(B68&lt;=0,0,B68-E68)</f>
        <v>0</v>
      </c>
      <c r="E68" s="16" t="n">
        <f aca="false">IF(OR(31&gt;$B$9,B68&lt;=0),0,IF($B$8=0,MAX(B68-$B$25*12,0),MAX(B68*(1+$B$8/12)^12-$B$25*((1+$B$8/12)^12-1)/($B$8/12),0)))</f>
        <v>0</v>
      </c>
    </row>
    <row r="69" customFormat="false" ht="15" hidden="false" customHeight="false" outlineLevel="0" collapsed="false">
      <c r="A69" s="15" t="n">
        <v>32</v>
      </c>
      <c r="B69" s="16" t="n">
        <f aca="false">E68</f>
        <v>0</v>
      </c>
      <c r="C69" s="16" t="n">
        <f aca="false">IF(B69&lt;=0,0,$B$25*12-D69)</f>
        <v>0</v>
      </c>
      <c r="D69" s="16" t="n">
        <f aca="false">IF(B69&lt;=0,0,B69-E69)</f>
        <v>0</v>
      </c>
      <c r="E69" s="16" t="n">
        <f aca="false">IF(OR(32&gt;$B$9,B69&lt;=0),0,IF($B$8=0,MAX(B69-$B$25*12,0),MAX(B69*(1+$B$8/12)^12-$B$25*((1+$B$8/12)^12-1)/($B$8/12),0)))</f>
        <v>0</v>
      </c>
    </row>
    <row r="70" customFormat="false" ht="15" hidden="false" customHeight="false" outlineLevel="0" collapsed="false">
      <c r="A70" s="15" t="n">
        <v>33</v>
      </c>
      <c r="B70" s="16" t="n">
        <f aca="false">E69</f>
        <v>0</v>
      </c>
      <c r="C70" s="16" t="n">
        <f aca="false">IF(B70&lt;=0,0,$B$25*12-D70)</f>
        <v>0</v>
      </c>
      <c r="D70" s="16" t="n">
        <f aca="false">IF(B70&lt;=0,0,B70-E70)</f>
        <v>0</v>
      </c>
      <c r="E70" s="16" t="n">
        <f aca="false">IF(OR(33&gt;$B$9,B70&lt;=0),0,IF($B$8=0,MAX(B70-$B$25*12,0),MAX(B70*(1+$B$8/12)^12-$B$25*((1+$B$8/12)^12-1)/($B$8/12),0)))</f>
        <v>0</v>
      </c>
    </row>
    <row r="71" customFormat="false" ht="15" hidden="false" customHeight="false" outlineLevel="0" collapsed="false">
      <c r="A71" s="15" t="n">
        <v>34</v>
      </c>
      <c r="B71" s="16" t="n">
        <f aca="false">E70</f>
        <v>0</v>
      </c>
      <c r="C71" s="16" t="n">
        <f aca="false">IF(B71&lt;=0,0,$B$25*12-D71)</f>
        <v>0</v>
      </c>
      <c r="D71" s="16" t="n">
        <f aca="false">IF(B71&lt;=0,0,B71-E71)</f>
        <v>0</v>
      </c>
      <c r="E71" s="16" t="n">
        <f aca="false">IF(OR(34&gt;$B$9,B71&lt;=0),0,IF($B$8=0,MAX(B71-$B$25*12,0),MAX(B71*(1+$B$8/12)^12-$B$25*((1+$B$8/12)^12-1)/($B$8/12),0)))</f>
        <v>0</v>
      </c>
    </row>
    <row r="72" customFormat="false" ht="15" hidden="false" customHeight="false" outlineLevel="0" collapsed="false">
      <c r="A72" s="15" t="n">
        <v>35</v>
      </c>
      <c r="B72" s="16" t="n">
        <f aca="false">E71</f>
        <v>0</v>
      </c>
      <c r="C72" s="16" t="n">
        <f aca="false">IF(B72&lt;=0,0,$B$25*12-D72)</f>
        <v>0</v>
      </c>
      <c r="D72" s="16" t="n">
        <f aca="false">IF(B72&lt;=0,0,B72-E72)</f>
        <v>0</v>
      </c>
      <c r="E72" s="16" t="n">
        <f aca="false">IF(OR(35&gt;$B$9,B72&lt;=0),0,IF($B$8=0,MAX(B72-$B$25*12,0),MAX(B72*(1+$B$8/12)^12-$B$25*((1+$B$8/12)^12-1)/($B$8/12),0)))</f>
        <v>0</v>
      </c>
    </row>
    <row r="73" customFormat="false" ht="15" hidden="false" customHeight="false" outlineLevel="0" collapsed="false">
      <c r="A73" s="15" t="n">
        <v>36</v>
      </c>
      <c r="B73" s="16" t="n">
        <f aca="false">E72</f>
        <v>0</v>
      </c>
      <c r="C73" s="16" t="n">
        <f aca="false">IF(B73&lt;=0,0,$B$25*12-D73)</f>
        <v>0</v>
      </c>
      <c r="D73" s="16" t="n">
        <f aca="false">IF(B73&lt;=0,0,B73-E73)</f>
        <v>0</v>
      </c>
      <c r="E73" s="16" t="n">
        <f aca="false">IF(OR(36&gt;$B$9,B73&lt;=0),0,IF($B$8=0,MAX(B73-$B$25*12,0),MAX(B73*(1+$B$8/12)^12-$B$25*((1+$B$8/12)^12-1)/($B$8/12),0)))</f>
        <v>0</v>
      </c>
    </row>
    <row r="74" customFormat="false" ht="15" hidden="false" customHeight="false" outlineLevel="0" collapsed="false">
      <c r="A74" s="15" t="n">
        <v>37</v>
      </c>
      <c r="B74" s="16" t="n">
        <f aca="false">E73</f>
        <v>0</v>
      </c>
      <c r="C74" s="16" t="n">
        <f aca="false">IF(B74&lt;=0,0,$B$25*12-D74)</f>
        <v>0</v>
      </c>
      <c r="D74" s="16" t="n">
        <f aca="false">IF(B74&lt;=0,0,B74-E74)</f>
        <v>0</v>
      </c>
      <c r="E74" s="16" t="n">
        <f aca="false">IF(OR(37&gt;$B$9,B74&lt;=0),0,IF($B$8=0,MAX(B74-$B$25*12,0),MAX(B74*(1+$B$8/12)^12-$B$25*((1+$B$8/12)^12-1)/($B$8/12),0)))</f>
        <v>0</v>
      </c>
    </row>
    <row r="75" customFormat="false" ht="15" hidden="false" customHeight="false" outlineLevel="0" collapsed="false">
      <c r="A75" s="15" t="n">
        <v>38</v>
      </c>
      <c r="B75" s="16" t="n">
        <f aca="false">E74</f>
        <v>0</v>
      </c>
      <c r="C75" s="16" t="n">
        <f aca="false">IF(B75&lt;=0,0,$B$25*12-D75)</f>
        <v>0</v>
      </c>
      <c r="D75" s="16" t="n">
        <f aca="false">IF(B75&lt;=0,0,B75-E75)</f>
        <v>0</v>
      </c>
      <c r="E75" s="16" t="n">
        <f aca="false">IF(OR(38&gt;$B$9,B75&lt;=0),0,IF($B$8=0,MAX(B75-$B$25*12,0),MAX(B75*(1+$B$8/12)^12-$B$25*((1+$B$8/12)^12-1)/($B$8/12),0)))</f>
        <v>0</v>
      </c>
    </row>
    <row r="76" customFormat="false" ht="15" hidden="false" customHeight="false" outlineLevel="0" collapsed="false">
      <c r="A76" s="15" t="n">
        <v>39</v>
      </c>
      <c r="B76" s="16" t="n">
        <f aca="false">E75</f>
        <v>0</v>
      </c>
      <c r="C76" s="16" t="n">
        <f aca="false">IF(B76&lt;=0,0,$B$25*12-D76)</f>
        <v>0</v>
      </c>
      <c r="D76" s="16" t="n">
        <f aca="false">IF(B76&lt;=0,0,B76-E76)</f>
        <v>0</v>
      </c>
      <c r="E76" s="16" t="n">
        <f aca="false">IF(OR(39&gt;$B$9,B76&lt;=0),0,IF($B$8=0,MAX(B76-$B$25*12,0),MAX(B76*(1+$B$8/12)^12-$B$25*((1+$B$8/12)^12-1)/($B$8/12),0)))</f>
        <v>0</v>
      </c>
    </row>
    <row r="77" customFormat="false" ht="15" hidden="false" customHeight="false" outlineLevel="0" collapsed="false">
      <c r="A77" s="15" t="n">
        <v>40</v>
      </c>
      <c r="B77" s="16" t="n">
        <f aca="false">E76</f>
        <v>0</v>
      </c>
      <c r="C77" s="16" t="n">
        <f aca="false">IF(B77&lt;=0,0,$B$25*12-D77)</f>
        <v>0</v>
      </c>
      <c r="D77" s="16" t="n">
        <f aca="false">IF(B77&lt;=0,0,B77-E77)</f>
        <v>0</v>
      </c>
      <c r="E77" s="16" t="n">
        <f aca="false">IF(OR(40&gt;$B$9,B77&lt;=0),0,IF($B$8=0,MAX(B77-$B$25*12,0),MAX(B77*(1+$B$8/12)^12-$B$25*((1+$B$8/12)^12-1)/($B$8/12),0)))</f>
        <v>0</v>
      </c>
    </row>
  </sheetData>
  <mergeCells count="2">
    <mergeCell ref="A29:G29"/>
    <mergeCell ref="A31:G33"/>
  </mergeCells>
  <dataValidations count="1">
    <dataValidation allowBlank="false" errorStyle="stop" operator="between" showDropDown="false" showErrorMessage="false" showInputMessage="false" sqref="B6" type="list">
      <formula1>"ES,PT"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95"/>
  </cols>
  <sheetData>
    <row r="1" customFormat="false" ht="17.35" hidden="false" customHeight="false" outlineLevel="0" collapsed="false">
      <c r="A1" s="1" t="s">
        <v>47</v>
      </c>
    </row>
    <row r="2" customFormat="false" ht="15" hidden="false" customHeight="false" outlineLevel="0" collapsed="false">
      <c r="A2" s="3"/>
      <c r="B2" s="17"/>
    </row>
    <row r="3" customFormat="false" ht="26.85" hidden="false" customHeight="false" outlineLevel="0" collapsed="false">
      <c r="A3" s="3" t="s">
        <v>48</v>
      </c>
      <c r="B3" s="17" t="s">
        <v>49</v>
      </c>
    </row>
    <row r="4" customFormat="false" ht="26.85" hidden="false" customHeight="false" outlineLevel="0" collapsed="false">
      <c r="A4" s="3" t="s">
        <v>50</v>
      </c>
      <c r="B4" s="17" t="s">
        <v>51</v>
      </c>
    </row>
    <row r="5" customFormat="false" ht="26.85" hidden="false" customHeight="false" outlineLevel="0" collapsed="false">
      <c r="A5" s="3" t="s">
        <v>52</v>
      </c>
      <c r="B5" s="17" t="s">
        <v>53</v>
      </c>
    </row>
    <row r="6" customFormat="false" ht="39.55" hidden="false" customHeight="false" outlineLevel="0" collapsed="false">
      <c r="A6" s="3" t="s">
        <v>54</v>
      </c>
      <c r="B6" s="17" t="s">
        <v>55</v>
      </c>
    </row>
    <row r="7" customFormat="false" ht="26.85" hidden="false" customHeight="false" outlineLevel="0" collapsed="false">
      <c r="A7" s="3" t="s">
        <v>56</v>
      </c>
      <c r="B7" s="17" t="s">
        <v>57</v>
      </c>
    </row>
    <row r="8" customFormat="false" ht="15" hidden="false" customHeight="false" outlineLevel="0" collapsed="false">
      <c r="A8" s="3"/>
      <c r="B8" s="17"/>
    </row>
    <row r="9" customFormat="false" ht="15" hidden="false" customHeight="false" outlineLevel="0" collapsed="false">
      <c r="A9" s="3" t="s">
        <v>58</v>
      </c>
      <c r="B9" s="17"/>
    </row>
    <row r="10" customFormat="false" ht="15" hidden="false" customHeight="false" outlineLevel="0" collapsed="false">
      <c r="A10" s="3" t="s">
        <v>59</v>
      </c>
      <c r="B10" s="17" t="s">
        <v>60</v>
      </c>
    </row>
    <row r="11" customFormat="false" ht="39.55" hidden="false" customHeight="false" outlineLevel="0" collapsed="false">
      <c r="A11" s="3" t="s">
        <v>61</v>
      </c>
      <c r="B11" s="17" t="s">
        <v>62</v>
      </c>
    </row>
    <row r="12" customFormat="false" ht="26.85" hidden="false" customHeight="false" outlineLevel="0" collapsed="false">
      <c r="A12" s="3" t="s">
        <v>63</v>
      </c>
      <c r="B12" s="17" t="s">
        <v>64</v>
      </c>
    </row>
    <row r="13" customFormat="false" ht="15" hidden="false" customHeight="false" outlineLevel="0" collapsed="false">
      <c r="A13" s="3" t="s">
        <v>65</v>
      </c>
      <c r="B13" s="17" t="s">
        <v>66</v>
      </c>
    </row>
    <row r="14" customFormat="false" ht="15" hidden="false" customHeight="false" outlineLevel="0" collapsed="false">
      <c r="A14" s="3"/>
      <c r="B14" s="17"/>
    </row>
    <row r="15" customFormat="false" ht="15" hidden="false" customHeight="false" outlineLevel="0" collapsed="false">
      <c r="A15" s="3" t="s">
        <v>67</v>
      </c>
      <c r="B15" s="17" t="s">
        <v>68</v>
      </c>
    </row>
    <row r="16" customFormat="false" ht="15" hidden="false" customHeight="false" outlineLevel="0" collapsed="false">
      <c r="A16" s="3"/>
      <c r="B16" s="17" t="s">
        <v>69</v>
      </c>
    </row>
    <row r="17" customFormat="false" ht="26.85" hidden="false" customHeight="false" outlineLevel="0" collapsed="false">
      <c r="A17" s="3"/>
      <c r="B17" s="17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  <Company>Perini Finance &amp; Property</Company>
  <Manager>Siegfried Perini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2026-07-25T07:49:25Z</dcterms:created>
  <dc:creator>Perini Finance &amp; Property</dc:creator>
  <dc:description/>
  <dc:language>de-DE</dc:language>
  <cp:lastModifiedBy>Perini Finance &amp; Property</cp:lastModifiedBy>
  <dcterms:modified xsi:type="dcterms:W3CDTF">2026-07-25T07:49:25Z</dcterms:modified>
  <cp:revision>0</cp:revision>
  <dc:subject>Rechnende Excel-Mappe für die Kaufnebenkosten in Spanien und Portugal: Erwerbsteuer je Autonomer Gemeinschaft, IMT, Notar, Register und Finanzierung — zwei Blätter, Kaufpreis eintragen genügt.</dc:subject>
  <dc:title>Kaufnebenkosten Spanien &amp; Portugal berechnen — Excel | Perini</dc:title>
  <cp:keywords>kaufnebenkosten spanien, kaufnebenkosten portugal, ITP, IMT, nebenkosten immobilienkauf spanien, excel rechner, Perini Finance &amp; Property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