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600" firstSheet="0" activeTab="0" autoFilterDateGrouping="1"/>
  </bookViews>
  <sheets>
    <sheet xmlns:r="http://schemas.openxmlformats.org/officeDocument/2006/relationships" name="Kaufkosten" sheetId="1" state="visible" r:id="rId1"/>
    <sheet xmlns:r="http://schemas.openxmlformats.org/officeDocument/2006/relationships" name="Hinweise" sheetId="2" state="visible" r:id="rId2"/>
  </sheets>
  <definedNames/>
  <calcPr calcId="124519" fullCalcOnLoad="1" refMode="A1" iterate="0" iterateCount="100" iterateDelta="0.0001"/>
</workbook>
</file>

<file path=xl/styles.xml><?xml version="1.0" encoding="utf-8"?>
<styleSheet xmlns="http://schemas.openxmlformats.org/spreadsheetml/2006/main">
  <numFmts count="3">
    <numFmt numFmtId="164" formatCode="#,##0&quot; €&quot;"/>
    <numFmt numFmtId="165" formatCode="0.00\ %"/>
    <numFmt numFmtId="166" formatCode="#,##0.00&quot; €&quot;"/>
  </numFmts>
  <fonts count="10">
    <font>
      <name val="Calibri"/>
      <charset val="1"/>
      <family val="2"/>
      <color theme="1"/>
      <sz val="11"/>
    </font>
    <font>
      <name val="Arial"/>
      <family val="0"/>
      <sz val="10"/>
    </font>
    <font>
      <name val="Arial"/>
      <family val="0"/>
      <sz val="10"/>
    </font>
    <font>
      <name val="Arial"/>
      <family val="0"/>
      <sz val="10"/>
    </font>
    <font>
      <name val="Arial"/>
      <charset val="1"/>
      <family val="0"/>
      <b val="1"/>
      <color rgb="FF0F4C3A"/>
      <sz val="14"/>
    </font>
    <font>
      <name val="Arial"/>
      <charset val="1"/>
      <family val="0"/>
      <color rgb="FF666666"/>
      <sz val="9"/>
    </font>
    <font>
      <name val="Arial"/>
      <charset val="1"/>
      <family val="0"/>
      <b val="1"/>
      <sz val="11"/>
    </font>
    <font>
      <name val="Arial"/>
      <charset val="1"/>
      <family val="0"/>
      <sz val="11"/>
    </font>
    <font>
      <name val="Arial"/>
      <charset val="1"/>
      <family val="0"/>
      <b val="1"/>
      <color rgb="FF0000FF"/>
      <sz val="11"/>
    </font>
    <font>
      <name val="Arial"/>
      <charset val="1"/>
      <family val="0"/>
      <b val="1"/>
      <color rgb="FFFFFFFF"/>
      <sz val="10"/>
    </font>
  </fonts>
  <fills count="4">
    <fill>
      <patternFill/>
    </fill>
    <fill>
      <patternFill patternType="gray125"/>
    </fill>
    <fill>
      <patternFill patternType="solid">
        <fgColor rgb="FFFFF2CC"/>
        <bgColor rgb="FFFFFFFF"/>
      </patternFill>
    </fill>
    <fill>
      <patternFill patternType="solid">
        <fgColor rgb="FF0F4C3A"/>
        <bgColor rgb="FF333333"/>
      </patternFill>
    </fill>
  </fills>
  <borders count="2">
    <border>
      <left/>
      <right/>
      <top/>
      <bottom/>
      <diagonal/>
    </border>
    <border>
      <left/>
      <right/>
      <top/>
      <bottom style="thin">
        <color rgb="FFDDDDDD"/>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5">
    <xf numFmtId="0" fontId="0" fillId="0" borderId="0" applyAlignment="1" pivotButton="0" quotePrefix="0" xfId="0">
      <alignment horizontal="general" vertical="bottom"/>
    </xf>
    <xf numFmtId="0" fontId="4" fillId="0" borderId="0" applyAlignment="1" pivotButton="0" quotePrefix="0" xfId="0">
      <alignment horizontal="general" vertical="top" wrapText="1"/>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164" fontId="8" fillId="2" borderId="0" applyAlignment="1" pivotButton="0" quotePrefix="0" xfId="0">
      <alignment horizontal="general" vertical="bottom"/>
    </xf>
    <xf numFmtId="49" fontId="8" fillId="2" borderId="0" applyAlignment="1" pivotButton="0" quotePrefix="0" xfId="0">
      <alignment horizontal="general" vertical="bottom"/>
    </xf>
    <xf numFmtId="165" fontId="8" fillId="2" borderId="0" applyAlignment="1" pivotButton="0" quotePrefix="0" xfId="0">
      <alignment horizontal="general" vertical="bottom"/>
    </xf>
    <xf numFmtId="1" fontId="8" fillId="2" borderId="0" applyAlignment="1" pivotButton="0" quotePrefix="0" xfId="0">
      <alignment horizontal="general" vertical="bottom"/>
    </xf>
    <xf numFmtId="165" fontId="7" fillId="0" borderId="0" applyAlignment="1" pivotButton="0" quotePrefix="0" xfId="0">
      <alignment horizontal="general" vertical="bottom"/>
    </xf>
    <xf numFmtId="166" fontId="6" fillId="0" borderId="0" applyAlignment="1" pivotButton="0" quotePrefix="0" xfId="0">
      <alignment horizontal="general" vertical="bottom"/>
    </xf>
    <xf numFmtId="165" fontId="6" fillId="0" borderId="0" applyAlignment="1" pivotButton="0" quotePrefix="0" xfId="0">
      <alignment horizontal="general" vertical="bottom"/>
    </xf>
    <xf numFmtId="0" fontId="6" fillId="0" borderId="0" applyAlignment="1" pivotButton="0" quotePrefix="0" xfId="0">
      <alignment horizontal="general" vertical="top" wrapText="1"/>
    </xf>
    <xf numFmtId="0" fontId="5" fillId="0" borderId="0" applyAlignment="1" pivotButton="0" quotePrefix="0" xfId="0">
      <alignment horizontal="general" vertical="top" wrapText="1"/>
    </xf>
    <xf numFmtId="0" fontId="9" fillId="3" borderId="0" applyAlignment="1" pivotButton="0" quotePrefix="0" xfId="0">
      <alignment horizontal="general" vertical="top" wrapText="1"/>
    </xf>
    <xf numFmtId="0" fontId="7" fillId="0" borderId="1" applyAlignment="1" pivotButton="0" quotePrefix="0" xfId="0">
      <alignment horizontal="general" vertical="bottom"/>
    </xf>
    <xf numFmtId="166" fontId="0" fillId="0" borderId="1" applyAlignment="1" pivotButton="0" quotePrefix="0" xfId="0">
      <alignment horizontal="general" vertical="bottom"/>
    </xf>
    <xf numFmtId="0" fontId="6"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top" wrapText="1"/>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164" fontId="8" fillId="2" borderId="0" applyAlignment="1" pivotButton="0" quotePrefix="0" xfId="0">
      <alignment horizontal="general" vertical="bottom"/>
    </xf>
    <xf numFmtId="49" fontId="8" fillId="2" borderId="0" applyAlignment="1" pivotButton="0" quotePrefix="0" xfId="0">
      <alignment horizontal="general" vertical="bottom"/>
    </xf>
    <xf numFmtId="165" fontId="8" fillId="2" borderId="0" applyAlignment="1" pivotButton="0" quotePrefix="0" xfId="0">
      <alignment horizontal="general" vertical="bottom"/>
    </xf>
    <xf numFmtId="1" fontId="8" fillId="2" borderId="0" applyAlignment="1" pivotButton="0" quotePrefix="0" xfId="0">
      <alignment horizontal="general" vertical="bottom"/>
    </xf>
    <xf numFmtId="165" fontId="7" fillId="0" borderId="0" applyAlignment="1" pivotButton="0" quotePrefix="0" xfId="0">
      <alignment horizontal="general" vertical="bottom"/>
    </xf>
    <xf numFmtId="166" fontId="6" fillId="0" borderId="0" applyAlignment="1" pivotButton="0" quotePrefix="0" xfId="0">
      <alignment horizontal="general" vertical="bottom"/>
    </xf>
    <xf numFmtId="165" fontId="6" fillId="0" borderId="0" applyAlignment="1" pivotButton="0" quotePrefix="0" xfId="0">
      <alignment horizontal="general" vertical="bottom"/>
    </xf>
    <xf numFmtId="0" fontId="9" fillId="3" borderId="0" applyAlignment="1" pivotButton="0" quotePrefix="0" xfId="0">
      <alignment horizontal="general" vertical="top" wrapText="1"/>
    </xf>
    <xf numFmtId="0" fontId="7" fillId="0" borderId="1" applyAlignment="1" pivotButton="0" quotePrefix="0" xfId="0">
      <alignment horizontal="general" vertical="bottom"/>
    </xf>
    <xf numFmtId="166" fontId="0" fillId="0" borderId="1" applyAlignment="1" pivotButton="0" quotePrefix="0" xfId="0">
      <alignment horizontal="general" vertical="bottom"/>
    </xf>
    <xf numFmtId="0" fontId="6"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F4C3A"/>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G77"/>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0" customWidth="1" style="18" min="1" max="1"/>
    <col width="24" customWidth="1" style="18" min="2" max="2"/>
    <col width="34" customWidth="1" style="18" min="3" max="4"/>
    <col width="24" customWidth="1" style="18" min="5" max="5"/>
    <col width="14" customWidth="1" style="18" min="6" max="7"/>
  </cols>
  <sheetData>
    <row r="1" ht="30" customHeight="1" s="19">
      <c r="A1" s="20" t="inlineStr">
        <is>
          <t>Kaufkosten- und Finanzierungsrechner · Spanien und Portugal
Rekenmodel aankoopkosten en financiering · Spanje en Portugal</t>
        </is>
      </c>
    </row>
    <row r="2" ht="30" customHeight="1" s="19">
      <c r="A2" s="21" t="inlineStr">
        <is>
          <t>Perini Finance &amp; Property · Siegfried Perini · Hypothek für Nicht-Residenten · perini.es
Perini Finance &amp; Property · Siegfried Perini · hypotheek voor niet-ingezetenen · perini.es</t>
        </is>
      </c>
    </row>
    <row r="3"/>
    <row r="4" ht="30" customHeight="1" s="19">
      <c r="A4" s="22" t="inlineStr">
        <is>
          <t>IHRE EINGABEN — nur die gelben Felder ändern
UW GEGEVENS — wijzig alleen de gele velden</t>
        </is>
      </c>
    </row>
    <row r="5" ht="30" customHeight="1" s="19">
      <c r="A5" s="23" t="inlineStr">
        <is>
          <t>Kaufpreis
Aankoopprijs</t>
        </is>
      </c>
      <c r="B5" s="24" t="n">
        <v>380000</v>
      </c>
      <c r="C5" s="21" t="inlineStr">
        <is>
          <t>der beurkundete Kaufpreis, ohne Nebenkosten
de in de akte vermelde prijs, zonder bijkomende kosten</t>
        </is>
      </c>
    </row>
    <row r="6" ht="30" customHeight="1" s="19">
      <c r="A6" s="23" t="inlineStr">
        <is>
          <t>Land
Land</t>
        </is>
      </c>
      <c r="B6" s="25" t="inlineStr">
        <is>
          <t>ES</t>
        </is>
      </c>
      <c r="C6" s="21" t="inlineStr">
        <is>
          <t>ES für Spanien, PT für Portugal — steuert Nebenkosten und Beleihungsgrenze
ES voor Spanje, PT voor Portugal — bepaalt de bijkomende kosten en de maximale beleningsgrens</t>
        </is>
      </c>
    </row>
    <row r="7" ht="30" customHeight="1" s="19">
      <c r="A7" s="23" t="inlineStr">
        <is>
          <t>Eigenkapital für den Kaufpreis
Eigen vermogen voor de aankoopprijs</t>
        </is>
      </c>
      <c r="B7" s="24" t="n">
        <v>115000</v>
      </c>
      <c r="C7" s="21" t="inlineStr">
        <is>
          <t>was Sie auf den Kaufpreis einbringen wollen
wat u in de aankoopprijs wilt inbrengen</t>
        </is>
      </c>
    </row>
    <row r="8" ht="30" customHeight="1" s="19">
      <c r="A8" s="23" t="inlineStr">
        <is>
          <t>Sollzins p. a.
Rente p. j.</t>
        </is>
      </c>
      <c r="B8" s="26" t="n">
        <v>0.031</v>
      </c>
      <c r="C8" s="21" t="inlineStr">
        <is>
          <t>neutraler Startwert — Ihre Kondition nennt die Bank im Angebot
neutrale beginwaarde — uw werkelijke rente staat in het aanbod van de bank</t>
        </is>
      </c>
    </row>
    <row r="9" ht="30" customHeight="1" s="19">
      <c r="A9" s="23" t="inlineStr">
        <is>
          <t>Laufzeit in Jahren
Looptijd in jaren</t>
        </is>
      </c>
      <c r="B9" s="27" t="n">
        <v>25</v>
      </c>
      <c r="C9" s="21" t="inlineStr">
        <is>
          <t>üblich 20–30 Jahre; das Alter bei Laufzeitende begrenzt sie
gebruikelijk 20–30 jaar; uw leeftijd aan het einde van de looptijd beperkt dit</t>
        </is>
      </c>
    </row>
    <row r="10"/>
    <row r="11" ht="30" customHeight="1" s="19">
      <c r="A11" s="22" t="inlineStr">
        <is>
          <t>HINTERLEGTE SÄTZE — aus dem Rechner auf perini.es
GEHANTEERDE PERCENTAGES — uit de rekentool op perini.es</t>
        </is>
      </c>
    </row>
    <row r="12" ht="30" customHeight="1" s="19">
      <c r="A12" s="23" t="inlineStr">
        <is>
          <t>Nebenkosten Spanien
Bijkomende kosten Spanje</t>
        </is>
      </c>
      <c r="B12" s="28" t="n">
        <v>0.11</v>
      </c>
      <c r="C12" s="21" t="inlineStr">
        <is>
          <t>ITP/IVA, Notar, Registro, Gestoría, Anwalt — Erfahrungswert
ITP/IVA, notaris, Registro, Gestoría, advocaat — ervaringswaarde</t>
        </is>
      </c>
    </row>
    <row r="13" ht="30" customHeight="1" s="19">
      <c r="A13" s="23" t="inlineStr">
        <is>
          <t>Nebenkosten Portugal
Bijkomende kosten Portugal</t>
        </is>
      </c>
      <c r="B13" s="28" t="n">
        <v>0.1</v>
      </c>
      <c r="C13" s="21" t="inlineStr">
        <is>
          <t>IMT 7,5 % für Nicht-Residenten, Imposto do Selo, Notar, Anwalt
IMT 7,5 % voor niet-ingezetenen, Imposto do Selo, notaris, advocaat</t>
        </is>
      </c>
    </row>
    <row r="14" ht="30" customHeight="1" s="19">
      <c r="A14" s="23" t="inlineStr">
        <is>
          <t>Max. Beleihung Spanien
Max. belening Spanje</t>
        </is>
      </c>
      <c r="B14" s="28" t="n">
        <v>0.7</v>
      </c>
      <c r="C14" s="21" t="inlineStr">
        <is>
          <t>Nicht-Residenten; Residenten erreichen mehr
niet-ingezetenen; ingezetenen krijgen meer</t>
        </is>
      </c>
    </row>
    <row r="15" ht="30" customHeight="1" s="19">
      <c r="A15" s="23" t="inlineStr">
        <is>
          <t>Max. Beleihung Portugal
Max. belening Portugal</t>
        </is>
      </c>
      <c r="B15" s="28" t="n">
        <v>0.8</v>
      </c>
      <c r="C15" s="21" t="inlineStr">
        <is>
          <t>Nicht-Residenten
niet-ingezetenen</t>
        </is>
      </c>
    </row>
    <row r="16"/>
    <row r="17" ht="30" customHeight="1" s="19">
      <c r="A17" s="22">
        <f>IF($B$6="PT","Aktiv: Portugal — 10 % Nebenkosten, bis 80 % Beleihung"&amp;CHAR(10)&amp;"Actief: Portugal — 10 % bijkomende kosten, tot 80 % belening","Aktiv: Spanien — 11 % Nebenkosten, bis 70 % Beleihung"&amp;CHAR(10)&amp;"Actief: Spanje — 11 % bijkomende kosten, tot 70 % belening")</f>
        <v/>
      </c>
    </row>
    <row r="18"/>
    <row r="19" ht="30" customHeight="1" s="19">
      <c r="A19" s="22" t="inlineStr">
        <is>
          <t>ERGEBNIS — rechnet automatisch
RESULTAAT — wordt automatisch berekend</t>
        </is>
      </c>
    </row>
    <row r="20" ht="30" customHeight="1" s="19">
      <c r="A20" s="23" t="inlineStr">
        <is>
          <t>Nebenkosten
Bijkomende kosten</t>
        </is>
      </c>
      <c r="B20" s="29">
        <f>$B$5*IF($B$6="PT",$B$13,$B$12)</f>
        <v/>
      </c>
      <c r="C20" s="21" t="inlineStr">
        <is>
          <t>Die Bank finanziert den Kaufpreis, nicht die Nebenkosten — die tragen Sie aus Eigenkapital
De bank financiert de aankoopprijs, niet de bijkomende kosten — die betaalt u uit eigen vermogen</t>
        </is>
      </c>
    </row>
    <row r="21" ht="30" customHeight="1" s="19">
      <c r="A21" s="23" t="inlineStr">
        <is>
          <t>Gesamtinvestition
Totale investering</t>
        </is>
      </c>
      <c r="B21" s="29">
        <f>$B$5+B20</f>
        <v/>
      </c>
      <c r="C21" s="21" t="inlineStr">
        <is>
          <t>Kaufpreis plus Nebenkosten
aankoopprijs plus bijkomende kosten</t>
        </is>
      </c>
    </row>
    <row r="22" ht="30" customHeight="1" s="19">
      <c r="A22" s="23" t="inlineStr">
        <is>
          <t>Darlehen
Lening</t>
        </is>
      </c>
      <c r="B22" s="29">
        <f>MIN(MAX($B$5-$B$7,0),$B$5*IF($B$6="PT",$B$15,$B$14))</f>
        <v/>
      </c>
      <c r="C22" s="21" t="inlineStr">
        <is>
          <t>auf die Beleihungsgrenze des Landes gedeckelt
begrensd op de beleningsgrens van het land</t>
        </is>
      </c>
    </row>
    <row r="23" ht="30" customHeight="1" s="19">
      <c r="A23" s="23" t="inlineStr">
        <is>
          <t>Beleihungsauslauf
Beleningsgraad</t>
        </is>
      </c>
      <c r="B23" s="30">
        <f>IF($B$5&gt;0,$B$22/$B$5,0)</f>
        <v/>
      </c>
      <c r="C23" s="21" t="inlineStr">
        <is>
          <t>Darlehen im Verhältnis zum Kaufpreis
lening in verhouding tot de aankoopprijs</t>
        </is>
      </c>
    </row>
    <row r="24" ht="30" customHeight="1" s="19">
      <c r="A24" s="23" t="inlineStr">
        <is>
          <t>Tatsächlicher Eigenkapitalbedarf
Werkelijk benodigd eigen vermogen</t>
        </is>
      </c>
      <c r="B24" s="29">
        <f>$B$5-$B$22+B20</f>
        <v/>
      </c>
      <c r="C24" s="21" t="inlineStr">
        <is>
          <t>der Betrag, der wirklich flüssig sein muss — inklusive Nebenkosten
het bedrag dat echt beschikbaar moet zijn — inclusief bijkomende kosten</t>
        </is>
      </c>
    </row>
    <row r="25" ht="30" customHeight="1" s="19">
      <c r="A25" s="23" t="inlineStr">
        <is>
          <t>Monatliche Rate
Maandelijkse termijn</t>
        </is>
      </c>
      <c r="B25" s="29">
        <f>IF(OR($B$22&lt;=0,$B$9&lt;=0),0,IF($B$8=0,$B$22/($B$9*12),$B$22*($B$8/12)/(1-(1+$B$8/12)^(-$B$9*12))))</f>
        <v/>
      </c>
      <c r="C25" s="21" t="inlineStr">
        <is>
          <t>Annuität über die gesamte Laufzeit
annuïteit over de volledige looptijd</t>
        </is>
      </c>
    </row>
    <row r="26" ht="30" customHeight="1" s="19">
      <c r="A26" s="23" t="inlineStr">
        <is>
          <t>Zinsen gesamt
Rente totaal</t>
        </is>
      </c>
      <c r="B26" s="29">
        <f>MAX(B25*$B$9*12-$B$22,0)</f>
        <v/>
      </c>
      <c r="C26" s="21" t="inlineStr">
        <is>
          <t>Summe aller Zinsanteile über die Laufzeit
som van alle rentedelen over de looptijd</t>
        </is>
      </c>
    </row>
    <row r="27" ht="30" customHeight="1" s="19">
      <c r="A27" s="23" t="inlineStr">
        <is>
          <t>Gesamtaufwand
Totale kosten</t>
        </is>
      </c>
      <c r="B27" s="29">
        <f>B24+B25*$B$9*12</f>
        <v/>
      </c>
      <c r="C27" s="21" t="inlineStr">
        <is>
          <t>Eigenkapitalbedarf plus alle Raten
benodigd eigen vermogen plus alle termijnen</t>
        </is>
      </c>
    </row>
    <row r="28"/>
    <row r="29" ht="33.75" customHeight="1" s="19">
      <c r="A29" s="22">
        <f>IF(MAX($B$5-$B$7,0)&gt;$B$5*IF($B$6="PT",$B$15,$B$14),"Achtung: Ihr Eigenkapital reicht für diese Beleihungsgrenze nicht aus — das Darlehen ist oben gedeckelt, der Eigenkapitalbedarf steigt entsprechend."&amp;CHAR(10)&amp;"Let op: uw eigen vermogen is voor deze beleningsgrens niet voldoende — de lening wordt naar boven begrensd, het benodigde eigen vermogen stijgt dienovereenkomstig.","Ihr Eigenkapital liegt innerhalb der Beleihungsgrenze."&amp;CHAR(10)&amp;"Uw eigen vermogen ligt binnen de beleningsgrens.")</f>
        <v/>
      </c>
    </row>
    <row r="30"/>
    <row r="31" ht="33.75" customHeight="1" s="19">
      <c r="A31" s="21" t="inlineStr">
        <is>
          <t>Modellrechnung ohne Gewähr. Konstante Konditionen über die gesamte Laufzeit unterstellt. Der Nebenkostensatz ist ein Erfahrungswert und variiert je Region und Objekt; maßgeblich sind die Steuersätze der jeweiligen autonomen Region bzw. Portugals zum Kaufzeitpunkt. Kein Effektivzins nach PAngV, keine Finanzierungszusage, keine Rechts- oder Steuerberatung.
Modelberekening zonder garantie. Er wordt uitgegaan van constante voorwaarden over de hele looptijd. Het percentage bijkomende kosten is een ervaringswaarde en verschilt per regio en object; bepalend zijn de belastingtarieven van de betreffende autonome regio, respectievelijk van Portugal op het moment van aankoop. Geen effectieve rente conform de Duitse PAngV, geen financieringstoezegging, geen juridisch of fiscaal advies.</t>
        </is>
      </c>
    </row>
    <row r="32" ht="33.75" customHeight="1" s="19"/>
    <row r="33" ht="33.75" customHeight="1" s="19"/>
    <row r="34"/>
    <row r="35"/>
    <row r="36" ht="30" customHeight="1" s="19">
      <c r="A36" s="22" t="inlineStr">
        <is>
          <t>VERLAUF JE JAHR
VERLOOP PER JAAR</t>
        </is>
      </c>
    </row>
    <row r="37" ht="31.5" customHeight="1" s="19">
      <c r="A37" s="31" t="inlineStr">
        <is>
          <t>Jahr
Jaar</t>
        </is>
      </c>
      <c r="B37" s="31" t="inlineStr">
        <is>
          <t>Restschuld Jahresbeginn
Restschuld begin van het jaar</t>
        </is>
      </c>
      <c r="C37" s="31" t="inlineStr">
        <is>
          <t>Zins im Jahr
Rente in het jaar</t>
        </is>
      </c>
      <c r="D37" s="31" t="inlineStr">
        <is>
          <t>Tilgung im Jahr
Aflossing in het jaar</t>
        </is>
      </c>
      <c r="E37" s="31" t="inlineStr">
        <is>
          <t>Restschuld Jahresende
Restschuld einde van het jaar</t>
        </is>
      </c>
    </row>
    <row r="38" ht="15" customHeight="1" s="19">
      <c r="A38" s="32" t="n">
        <v>1</v>
      </c>
      <c r="B38" s="33">
        <f>$B$22</f>
        <v/>
      </c>
      <c r="C38" s="33">
        <f>IF(B38&lt;=0,0,$B$25*12-D38)</f>
        <v/>
      </c>
      <c r="D38" s="33">
        <f>IF(B38&lt;=0,0,B38-E38)</f>
        <v/>
      </c>
      <c r="E38" s="33">
        <f>IF(OR(1&gt;$B$9,B38&lt;=0),0,IF($B$8=0,MAX(B38-$B$25*12,0),MAX(B38*(1+$B$8/12)^12-$B$25*((1+$B$8/12)^12-1)/($B$8/12),0)))</f>
        <v/>
      </c>
    </row>
    <row r="39" ht="15" customHeight="1" s="19">
      <c r="A39" s="32" t="n">
        <v>2</v>
      </c>
      <c r="B39" s="33">
        <f>E38</f>
        <v/>
      </c>
      <c r="C39" s="33">
        <f>IF(B39&lt;=0,0,$B$25*12-D39)</f>
        <v/>
      </c>
      <c r="D39" s="33">
        <f>IF(B39&lt;=0,0,B39-E39)</f>
        <v/>
      </c>
      <c r="E39" s="33">
        <f>IF(OR(2&gt;$B$9,B39&lt;=0),0,IF($B$8=0,MAX(B39-$B$25*12,0),MAX(B39*(1+$B$8/12)^12-$B$25*((1+$B$8/12)^12-1)/($B$8/12),0)))</f>
        <v/>
      </c>
    </row>
    <row r="40" ht="15" customHeight="1" s="19">
      <c r="A40" s="32" t="n">
        <v>3</v>
      </c>
      <c r="B40" s="33">
        <f>E39</f>
        <v/>
      </c>
      <c r="C40" s="33">
        <f>IF(B40&lt;=0,0,$B$25*12-D40)</f>
        <v/>
      </c>
      <c r="D40" s="33">
        <f>IF(B40&lt;=0,0,B40-E40)</f>
        <v/>
      </c>
      <c r="E40" s="33">
        <f>IF(OR(3&gt;$B$9,B40&lt;=0),0,IF($B$8=0,MAX(B40-$B$25*12,0),MAX(B40*(1+$B$8/12)^12-$B$25*((1+$B$8/12)^12-1)/($B$8/12),0)))</f>
        <v/>
      </c>
    </row>
    <row r="41" ht="15" customHeight="1" s="19">
      <c r="A41" s="32" t="n">
        <v>4</v>
      </c>
      <c r="B41" s="33">
        <f>E40</f>
        <v/>
      </c>
      <c r="C41" s="33">
        <f>IF(B41&lt;=0,0,$B$25*12-D41)</f>
        <v/>
      </c>
      <c r="D41" s="33">
        <f>IF(B41&lt;=0,0,B41-E41)</f>
        <v/>
      </c>
      <c r="E41" s="33">
        <f>IF(OR(4&gt;$B$9,B41&lt;=0),0,IF($B$8=0,MAX(B41-$B$25*12,0),MAX(B41*(1+$B$8/12)^12-$B$25*((1+$B$8/12)^12-1)/($B$8/12),0)))</f>
        <v/>
      </c>
    </row>
    <row r="42" ht="15" customHeight="1" s="19">
      <c r="A42" s="32" t="n">
        <v>5</v>
      </c>
      <c r="B42" s="33">
        <f>E41</f>
        <v/>
      </c>
      <c r="C42" s="33">
        <f>IF(B42&lt;=0,0,$B$25*12-D42)</f>
        <v/>
      </c>
      <c r="D42" s="33">
        <f>IF(B42&lt;=0,0,B42-E42)</f>
        <v/>
      </c>
      <c r="E42" s="33">
        <f>IF(OR(5&gt;$B$9,B42&lt;=0),0,IF($B$8=0,MAX(B42-$B$25*12,0),MAX(B42*(1+$B$8/12)^12-$B$25*((1+$B$8/12)^12-1)/($B$8/12),0)))</f>
        <v/>
      </c>
    </row>
    <row r="43" ht="15" customHeight="1" s="19">
      <c r="A43" s="32" t="n">
        <v>6</v>
      </c>
      <c r="B43" s="33">
        <f>E42</f>
        <v/>
      </c>
      <c r="C43" s="33">
        <f>IF(B43&lt;=0,0,$B$25*12-D43)</f>
        <v/>
      </c>
      <c r="D43" s="33">
        <f>IF(B43&lt;=0,0,B43-E43)</f>
        <v/>
      </c>
      <c r="E43" s="33">
        <f>IF(OR(6&gt;$B$9,B43&lt;=0),0,IF($B$8=0,MAX(B43-$B$25*12,0),MAX(B43*(1+$B$8/12)^12-$B$25*((1+$B$8/12)^12-1)/($B$8/12),0)))</f>
        <v/>
      </c>
    </row>
    <row r="44" ht="15" customHeight="1" s="19">
      <c r="A44" s="32" t="n">
        <v>7</v>
      </c>
      <c r="B44" s="33">
        <f>E43</f>
        <v/>
      </c>
      <c r="C44" s="33">
        <f>IF(B44&lt;=0,0,$B$25*12-D44)</f>
        <v/>
      </c>
      <c r="D44" s="33">
        <f>IF(B44&lt;=0,0,B44-E44)</f>
        <v/>
      </c>
      <c r="E44" s="33">
        <f>IF(OR(7&gt;$B$9,B44&lt;=0),0,IF($B$8=0,MAX(B44-$B$25*12,0),MAX(B44*(1+$B$8/12)^12-$B$25*((1+$B$8/12)^12-1)/($B$8/12),0)))</f>
        <v/>
      </c>
    </row>
    <row r="45" ht="15" customHeight="1" s="19">
      <c r="A45" s="32" t="n">
        <v>8</v>
      </c>
      <c r="B45" s="33">
        <f>E44</f>
        <v/>
      </c>
      <c r="C45" s="33">
        <f>IF(B45&lt;=0,0,$B$25*12-D45)</f>
        <v/>
      </c>
      <c r="D45" s="33">
        <f>IF(B45&lt;=0,0,B45-E45)</f>
        <v/>
      </c>
      <c r="E45" s="33">
        <f>IF(OR(8&gt;$B$9,B45&lt;=0),0,IF($B$8=0,MAX(B45-$B$25*12,0),MAX(B45*(1+$B$8/12)^12-$B$25*((1+$B$8/12)^12-1)/($B$8/12),0)))</f>
        <v/>
      </c>
    </row>
    <row r="46" ht="15" customHeight="1" s="19">
      <c r="A46" s="32" t="n">
        <v>9</v>
      </c>
      <c r="B46" s="33">
        <f>E45</f>
        <v/>
      </c>
      <c r="C46" s="33">
        <f>IF(B46&lt;=0,0,$B$25*12-D46)</f>
        <v/>
      </c>
      <c r="D46" s="33">
        <f>IF(B46&lt;=0,0,B46-E46)</f>
        <v/>
      </c>
      <c r="E46" s="33">
        <f>IF(OR(9&gt;$B$9,B46&lt;=0),0,IF($B$8=0,MAX(B46-$B$25*12,0),MAX(B46*(1+$B$8/12)^12-$B$25*((1+$B$8/12)^12-1)/($B$8/12),0)))</f>
        <v/>
      </c>
    </row>
    <row r="47" ht="15" customHeight="1" s="19">
      <c r="A47" s="32" t="n">
        <v>10</v>
      </c>
      <c r="B47" s="33">
        <f>E46</f>
        <v/>
      </c>
      <c r="C47" s="33">
        <f>IF(B47&lt;=0,0,$B$25*12-D47)</f>
        <v/>
      </c>
      <c r="D47" s="33">
        <f>IF(B47&lt;=0,0,B47-E47)</f>
        <v/>
      </c>
      <c r="E47" s="33">
        <f>IF(OR(10&gt;$B$9,B47&lt;=0),0,IF($B$8=0,MAX(B47-$B$25*12,0),MAX(B47*(1+$B$8/12)^12-$B$25*((1+$B$8/12)^12-1)/($B$8/12),0)))</f>
        <v/>
      </c>
    </row>
    <row r="48" ht="15" customHeight="1" s="19">
      <c r="A48" s="32" t="n">
        <v>11</v>
      </c>
      <c r="B48" s="33">
        <f>E47</f>
        <v/>
      </c>
      <c r="C48" s="33">
        <f>IF(B48&lt;=0,0,$B$25*12-D48)</f>
        <v/>
      </c>
      <c r="D48" s="33">
        <f>IF(B48&lt;=0,0,B48-E48)</f>
        <v/>
      </c>
      <c r="E48" s="33">
        <f>IF(OR(11&gt;$B$9,B48&lt;=0),0,IF($B$8=0,MAX(B48-$B$25*12,0),MAX(B48*(1+$B$8/12)^12-$B$25*((1+$B$8/12)^12-1)/($B$8/12),0)))</f>
        <v/>
      </c>
    </row>
    <row r="49" ht="15" customHeight="1" s="19">
      <c r="A49" s="32" t="n">
        <v>12</v>
      </c>
      <c r="B49" s="33">
        <f>E48</f>
        <v/>
      </c>
      <c r="C49" s="33">
        <f>IF(B49&lt;=0,0,$B$25*12-D49)</f>
        <v/>
      </c>
      <c r="D49" s="33">
        <f>IF(B49&lt;=0,0,B49-E49)</f>
        <v/>
      </c>
      <c r="E49" s="33">
        <f>IF(OR(12&gt;$B$9,B49&lt;=0),0,IF($B$8=0,MAX(B49-$B$25*12,0),MAX(B49*(1+$B$8/12)^12-$B$25*((1+$B$8/12)^12-1)/($B$8/12),0)))</f>
        <v/>
      </c>
    </row>
    <row r="50" ht="15" customHeight="1" s="19">
      <c r="A50" s="32" t="n">
        <v>13</v>
      </c>
      <c r="B50" s="33">
        <f>E49</f>
        <v/>
      </c>
      <c r="C50" s="33">
        <f>IF(B50&lt;=0,0,$B$25*12-D50)</f>
        <v/>
      </c>
      <c r="D50" s="33">
        <f>IF(B50&lt;=0,0,B50-E50)</f>
        <v/>
      </c>
      <c r="E50" s="33">
        <f>IF(OR(13&gt;$B$9,B50&lt;=0),0,IF($B$8=0,MAX(B50-$B$25*12,0),MAX(B50*(1+$B$8/12)^12-$B$25*((1+$B$8/12)^12-1)/($B$8/12),0)))</f>
        <v/>
      </c>
    </row>
    <row r="51" ht="15" customHeight="1" s="19">
      <c r="A51" s="32" t="n">
        <v>14</v>
      </c>
      <c r="B51" s="33">
        <f>E50</f>
        <v/>
      </c>
      <c r="C51" s="33">
        <f>IF(B51&lt;=0,0,$B$25*12-D51)</f>
        <v/>
      </c>
      <c r="D51" s="33">
        <f>IF(B51&lt;=0,0,B51-E51)</f>
        <v/>
      </c>
      <c r="E51" s="33">
        <f>IF(OR(14&gt;$B$9,B51&lt;=0),0,IF($B$8=0,MAX(B51-$B$25*12,0),MAX(B51*(1+$B$8/12)^12-$B$25*((1+$B$8/12)^12-1)/($B$8/12),0)))</f>
        <v/>
      </c>
    </row>
    <row r="52" ht="15" customHeight="1" s="19">
      <c r="A52" s="32" t="n">
        <v>15</v>
      </c>
      <c r="B52" s="33">
        <f>E51</f>
        <v/>
      </c>
      <c r="C52" s="33">
        <f>IF(B52&lt;=0,0,$B$25*12-D52)</f>
        <v/>
      </c>
      <c r="D52" s="33">
        <f>IF(B52&lt;=0,0,B52-E52)</f>
        <v/>
      </c>
      <c r="E52" s="33">
        <f>IF(OR(15&gt;$B$9,B52&lt;=0),0,IF($B$8=0,MAX(B52-$B$25*12,0),MAX(B52*(1+$B$8/12)^12-$B$25*((1+$B$8/12)^12-1)/($B$8/12),0)))</f>
        <v/>
      </c>
    </row>
    <row r="53" ht="15" customHeight="1" s="19">
      <c r="A53" s="32" t="n">
        <v>16</v>
      </c>
      <c r="B53" s="33">
        <f>E52</f>
        <v/>
      </c>
      <c r="C53" s="33">
        <f>IF(B53&lt;=0,0,$B$25*12-D53)</f>
        <v/>
      </c>
      <c r="D53" s="33">
        <f>IF(B53&lt;=0,0,B53-E53)</f>
        <v/>
      </c>
      <c r="E53" s="33">
        <f>IF(OR(16&gt;$B$9,B53&lt;=0),0,IF($B$8=0,MAX(B53-$B$25*12,0),MAX(B53*(1+$B$8/12)^12-$B$25*((1+$B$8/12)^12-1)/($B$8/12),0)))</f>
        <v/>
      </c>
    </row>
    <row r="54" ht="15" customHeight="1" s="19">
      <c r="A54" s="32" t="n">
        <v>17</v>
      </c>
      <c r="B54" s="33">
        <f>E53</f>
        <v/>
      </c>
      <c r="C54" s="33">
        <f>IF(B54&lt;=0,0,$B$25*12-D54)</f>
        <v/>
      </c>
      <c r="D54" s="33">
        <f>IF(B54&lt;=0,0,B54-E54)</f>
        <v/>
      </c>
      <c r="E54" s="33">
        <f>IF(OR(17&gt;$B$9,B54&lt;=0),0,IF($B$8=0,MAX(B54-$B$25*12,0),MAX(B54*(1+$B$8/12)^12-$B$25*((1+$B$8/12)^12-1)/($B$8/12),0)))</f>
        <v/>
      </c>
    </row>
    <row r="55" ht="15" customHeight="1" s="19">
      <c r="A55" s="32" t="n">
        <v>18</v>
      </c>
      <c r="B55" s="33">
        <f>E54</f>
        <v/>
      </c>
      <c r="C55" s="33">
        <f>IF(B55&lt;=0,0,$B$25*12-D55)</f>
        <v/>
      </c>
      <c r="D55" s="33">
        <f>IF(B55&lt;=0,0,B55-E55)</f>
        <v/>
      </c>
      <c r="E55" s="33">
        <f>IF(OR(18&gt;$B$9,B55&lt;=0),0,IF($B$8=0,MAX(B55-$B$25*12,0),MAX(B55*(1+$B$8/12)^12-$B$25*((1+$B$8/12)^12-1)/($B$8/12),0)))</f>
        <v/>
      </c>
    </row>
    <row r="56" ht="15" customHeight="1" s="19">
      <c r="A56" s="32" t="n">
        <v>19</v>
      </c>
      <c r="B56" s="33">
        <f>E55</f>
        <v/>
      </c>
      <c r="C56" s="33">
        <f>IF(B56&lt;=0,0,$B$25*12-D56)</f>
        <v/>
      </c>
      <c r="D56" s="33">
        <f>IF(B56&lt;=0,0,B56-E56)</f>
        <v/>
      </c>
      <c r="E56" s="33">
        <f>IF(OR(19&gt;$B$9,B56&lt;=0),0,IF($B$8=0,MAX(B56-$B$25*12,0),MAX(B56*(1+$B$8/12)^12-$B$25*((1+$B$8/12)^12-1)/($B$8/12),0)))</f>
        <v/>
      </c>
    </row>
    <row r="57" ht="15" customHeight="1" s="19">
      <c r="A57" s="32" t="n">
        <v>20</v>
      </c>
      <c r="B57" s="33">
        <f>E56</f>
        <v/>
      </c>
      <c r="C57" s="33">
        <f>IF(B57&lt;=0,0,$B$25*12-D57)</f>
        <v/>
      </c>
      <c r="D57" s="33">
        <f>IF(B57&lt;=0,0,B57-E57)</f>
        <v/>
      </c>
      <c r="E57" s="33">
        <f>IF(OR(20&gt;$B$9,B57&lt;=0),0,IF($B$8=0,MAX(B57-$B$25*12,0),MAX(B57*(1+$B$8/12)^12-$B$25*((1+$B$8/12)^12-1)/($B$8/12),0)))</f>
        <v/>
      </c>
    </row>
    <row r="58" ht="15" customHeight="1" s="19">
      <c r="A58" s="32" t="n">
        <v>21</v>
      </c>
      <c r="B58" s="33">
        <f>E57</f>
        <v/>
      </c>
      <c r="C58" s="33">
        <f>IF(B58&lt;=0,0,$B$25*12-D58)</f>
        <v/>
      </c>
      <c r="D58" s="33">
        <f>IF(B58&lt;=0,0,B58-E58)</f>
        <v/>
      </c>
      <c r="E58" s="33">
        <f>IF(OR(21&gt;$B$9,B58&lt;=0),0,IF($B$8=0,MAX(B58-$B$25*12,0),MAX(B58*(1+$B$8/12)^12-$B$25*((1+$B$8/12)^12-1)/($B$8/12),0)))</f>
        <v/>
      </c>
    </row>
    <row r="59" ht="15" customHeight="1" s="19">
      <c r="A59" s="32" t="n">
        <v>22</v>
      </c>
      <c r="B59" s="33">
        <f>E58</f>
        <v/>
      </c>
      <c r="C59" s="33">
        <f>IF(B59&lt;=0,0,$B$25*12-D59)</f>
        <v/>
      </c>
      <c r="D59" s="33">
        <f>IF(B59&lt;=0,0,B59-E59)</f>
        <v/>
      </c>
      <c r="E59" s="33">
        <f>IF(OR(22&gt;$B$9,B59&lt;=0),0,IF($B$8=0,MAX(B59-$B$25*12,0),MAX(B59*(1+$B$8/12)^12-$B$25*((1+$B$8/12)^12-1)/($B$8/12),0)))</f>
        <v/>
      </c>
    </row>
    <row r="60" ht="15" customHeight="1" s="19">
      <c r="A60" s="32" t="n">
        <v>23</v>
      </c>
      <c r="B60" s="33">
        <f>E59</f>
        <v/>
      </c>
      <c r="C60" s="33">
        <f>IF(B60&lt;=0,0,$B$25*12-D60)</f>
        <v/>
      </c>
      <c r="D60" s="33">
        <f>IF(B60&lt;=0,0,B60-E60)</f>
        <v/>
      </c>
      <c r="E60" s="33">
        <f>IF(OR(23&gt;$B$9,B60&lt;=0),0,IF($B$8=0,MAX(B60-$B$25*12,0),MAX(B60*(1+$B$8/12)^12-$B$25*((1+$B$8/12)^12-1)/($B$8/12),0)))</f>
        <v/>
      </c>
    </row>
    <row r="61" ht="15" customHeight="1" s="19">
      <c r="A61" s="32" t="n">
        <v>24</v>
      </c>
      <c r="B61" s="33">
        <f>E60</f>
        <v/>
      </c>
      <c r="C61" s="33">
        <f>IF(B61&lt;=0,0,$B$25*12-D61)</f>
        <v/>
      </c>
      <c r="D61" s="33">
        <f>IF(B61&lt;=0,0,B61-E61)</f>
        <v/>
      </c>
      <c r="E61" s="33">
        <f>IF(OR(24&gt;$B$9,B61&lt;=0),0,IF($B$8=0,MAX(B61-$B$25*12,0),MAX(B61*(1+$B$8/12)^12-$B$25*((1+$B$8/12)^12-1)/($B$8/12),0)))</f>
        <v/>
      </c>
    </row>
    <row r="62" ht="15" customHeight="1" s="19">
      <c r="A62" s="32" t="n">
        <v>25</v>
      </c>
      <c r="B62" s="33">
        <f>E61</f>
        <v/>
      </c>
      <c r="C62" s="33">
        <f>IF(B62&lt;=0,0,$B$25*12-D62)</f>
        <v/>
      </c>
      <c r="D62" s="33">
        <f>IF(B62&lt;=0,0,B62-E62)</f>
        <v/>
      </c>
      <c r="E62" s="33">
        <f>IF(OR(25&gt;$B$9,B62&lt;=0),0,IF($B$8=0,MAX(B62-$B$25*12,0),MAX(B62*(1+$B$8/12)^12-$B$25*((1+$B$8/12)^12-1)/($B$8/12),0)))</f>
        <v/>
      </c>
    </row>
    <row r="63" ht="15" customHeight="1" s="19">
      <c r="A63" s="32" t="n">
        <v>26</v>
      </c>
      <c r="B63" s="33">
        <f>E62</f>
        <v/>
      </c>
      <c r="C63" s="33">
        <f>IF(B63&lt;=0,0,$B$25*12-D63)</f>
        <v/>
      </c>
      <c r="D63" s="33">
        <f>IF(B63&lt;=0,0,B63-E63)</f>
        <v/>
      </c>
      <c r="E63" s="33">
        <f>IF(OR(26&gt;$B$9,B63&lt;=0),0,IF($B$8=0,MAX(B63-$B$25*12,0),MAX(B63*(1+$B$8/12)^12-$B$25*((1+$B$8/12)^12-1)/($B$8/12),0)))</f>
        <v/>
      </c>
    </row>
    <row r="64" ht="15" customHeight="1" s="19">
      <c r="A64" s="32" t="n">
        <v>27</v>
      </c>
      <c r="B64" s="33">
        <f>E63</f>
        <v/>
      </c>
      <c r="C64" s="33">
        <f>IF(B64&lt;=0,0,$B$25*12-D64)</f>
        <v/>
      </c>
      <c r="D64" s="33">
        <f>IF(B64&lt;=0,0,B64-E64)</f>
        <v/>
      </c>
      <c r="E64" s="33">
        <f>IF(OR(27&gt;$B$9,B64&lt;=0),0,IF($B$8=0,MAX(B64-$B$25*12,0),MAX(B64*(1+$B$8/12)^12-$B$25*((1+$B$8/12)^12-1)/($B$8/12),0)))</f>
        <v/>
      </c>
    </row>
    <row r="65" ht="15" customHeight="1" s="19">
      <c r="A65" s="32" t="n">
        <v>28</v>
      </c>
      <c r="B65" s="33">
        <f>E64</f>
        <v/>
      </c>
      <c r="C65" s="33">
        <f>IF(B65&lt;=0,0,$B$25*12-D65)</f>
        <v/>
      </c>
      <c r="D65" s="33">
        <f>IF(B65&lt;=0,0,B65-E65)</f>
        <v/>
      </c>
      <c r="E65" s="33">
        <f>IF(OR(28&gt;$B$9,B65&lt;=0),0,IF($B$8=0,MAX(B65-$B$25*12,0),MAX(B65*(1+$B$8/12)^12-$B$25*((1+$B$8/12)^12-1)/($B$8/12),0)))</f>
        <v/>
      </c>
    </row>
    <row r="66" ht="15" customHeight="1" s="19">
      <c r="A66" s="32" t="n">
        <v>29</v>
      </c>
      <c r="B66" s="33">
        <f>E65</f>
        <v/>
      </c>
      <c r="C66" s="33">
        <f>IF(B66&lt;=0,0,$B$25*12-D66)</f>
        <v/>
      </c>
      <c r="D66" s="33">
        <f>IF(B66&lt;=0,0,B66-E66)</f>
        <v/>
      </c>
      <c r="E66" s="33">
        <f>IF(OR(29&gt;$B$9,B66&lt;=0),0,IF($B$8=0,MAX(B66-$B$25*12,0),MAX(B66*(1+$B$8/12)^12-$B$25*((1+$B$8/12)^12-1)/($B$8/12),0)))</f>
        <v/>
      </c>
    </row>
    <row r="67" ht="15" customHeight="1" s="19">
      <c r="A67" s="32" t="n">
        <v>30</v>
      </c>
      <c r="B67" s="33">
        <f>E66</f>
        <v/>
      </c>
      <c r="C67" s="33">
        <f>IF(B67&lt;=0,0,$B$25*12-D67)</f>
        <v/>
      </c>
      <c r="D67" s="33">
        <f>IF(B67&lt;=0,0,B67-E67)</f>
        <v/>
      </c>
      <c r="E67" s="33">
        <f>IF(OR(30&gt;$B$9,B67&lt;=0),0,IF($B$8=0,MAX(B67-$B$25*12,0),MAX(B67*(1+$B$8/12)^12-$B$25*((1+$B$8/12)^12-1)/($B$8/12),0)))</f>
        <v/>
      </c>
    </row>
    <row r="68" ht="15" customHeight="1" s="19">
      <c r="A68" s="32" t="n">
        <v>31</v>
      </c>
      <c r="B68" s="33">
        <f>E67</f>
        <v/>
      </c>
      <c r="C68" s="33">
        <f>IF(B68&lt;=0,0,$B$25*12-D68)</f>
        <v/>
      </c>
      <c r="D68" s="33">
        <f>IF(B68&lt;=0,0,B68-E68)</f>
        <v/>
      </c>
      <c r="E68" s="33">
        <f>IF(OR(31&gt;$B$9,B68&lt;=0),0,IF($B$8=0,MAX(B68-$B$25*12,0),MAX(B68*(1+$B$8/12)^12-$B$25*((1+$B$8/12)^12-1)/($B$8/12),0)))</f>
        <v/>
      </c>
    </row>
    <row r="69" ht="15" customHeight="1" s="19">
      <c r="A69" s="32" t="n">
        <v>32</v>
      </c>
      <c r="B69" s="33">
        <f>E68</f>
        <v/>
      </c>
      <c r="C69" s="33">
        <f>IF(B69&lt;=0,0,$B$25*12-D69)</f>
        <v/>
      </c>
      <c r="D69" s="33">
        <f>IF(B69&lt;=0,0,B69-E69)</f>
        <v/>
      </c>
      <c r="E69" s="33">
        <f>IF(OR(32&gt;$B$9,B69&lt;=0),0,IF($B$8=0,MAX(B69-$B$25*12,0),MAX(B69*(1+$B$8/12)^12-$B$25*((1+$B$8/12)^12-1)/($B$8/12),0)))</f>
        <v/>
      </c>
    </row>
    <row r="70" ht="15" customHeight="1" s="19">
      <c r="A70" s="32" t="n">
        <v>33</v>
      </c>
      <c r="B70" s="33">
        <f>E69</f>
        <v/>
      </c>
      <c r="C70" s="33">
        <f>IF(B70&lt;=0,0,$B$25*12-D70)</f>
        <v/>
      </c>
      <c r="D70" s="33">
        <f>IF(B70&lt;=0,0,B70-E70)</f>
        <v/>
      </c>
      <c r="E70" s="33">
        <f>IF(OR(33&gt;$B$9,B70&lt;=0),0,IF($B$8=0,MAX(B70-$B$25*12,0),MAX(B70*(1+$B$8/12)^12-$B$25*((1+$B$8/12)^12-1)/($B$8/12),0)))</f>
        <v/>
      </c>
    </row>
    <row r="71" ht="15" customHeight="1" s="19">
      <c r="A71" s="32" t="n">
        <v>34</v>
      </c>
      <c r="B71" s="33">
        <f>E70</f>
        <v/>
      </c>
      <c r="C71" s="33">
        <f>IF(B71&lt;=0,0,$B$25*12-D71)</f>
        <v/>
      </c>
      <c r="D71" s="33">
        <f>IF(B71&lt;=0,0,B71-E71)</f>
        <v/>
      </c>
      <c r="E71" s="33">
        <f>IF(OR(34&gt;$B$9,B71&lt;=0),0,IF($B$8=0,MAX(B71-$B$25*12,0),MAX(B71*(1+$B$8/12)^12-$B$25*((1+$B$8/12)^12-1)/($B$8/12),0)))</f>
        <v/>
      </c>
    </row>
    <row r="72" ht="15" customHeight="1" s="19">
      <c r="A72" s="32" t="n">
        <v>35</v>
      </c>
      <c r="B72" s="33">
        <f>E71</f>
        <v/>
      </c>
      <c r="C72" s="33">
        <f>IF(B72&lt;=0,0,$B$25*12-D72)</f>
        <v/>
      </c>
      <c r="D72" s="33">
        <f>IF(B72&lt;=0,0,B72-E72)</f>
        <v/>
      </c>
      <c r="E72" s="33">
        <f>IF(OR(35&gt;$B$9,B72&lt;=0),0,IF($B$8=0,MAX(B72-$B$25*12,0),MAX(B72*(1+$B$8/12)^12-$B$25*((1+$B$8/12)^12-1)/($B$8/12),0)))</f>
        <v/>
      </c>
    </row>
    <row r="73" ht="15" customHeight="1" s="19">
      <c r="A73" s="32" t="n">
        <v>36</v>
      </c>
      <c r="B73" s="33">
        <f>E72</f>
        <v/>
      </c>
      <c r="C73" s="33">
        <f>IF(B73&lt;=0,0,$B$25*12-D73)</f>
        <v/>
      </c>
      <c r="D73" s="33">
        <f>IF(B73&lt;=0,0,B73-E73)</f>
        <v/>
      </c>
      <c r="E73" s="33">
        <f>IF(OR(36&gt;$B$9,B73&lt;=0),0,IF($B$8=0,MAX(B73-$B$25*12,0),MAX(B73*(1+$B$8/12)^12-$B$25*((1+$B$8/12)^12-1)/($B$8/12),0)))</f>
        <v/>
      </c>
    </row>
    <row r="74" ht="15" customHeight="1" s="19">
      <c r="A74" s="32" t="n">
        <v>37</v>
      </c>
      <c r="B74" s="33">
        <f>E73</f>
        <v/>
      </c>
      <c r="C74" s="33">
        <f>IF(B74&lt;=0,0,$B$25*12-D74)</f>
        <v/>
      </c>
      <c r="D74" s="33">
        <f>IF(B74&lt;=0,0,B74-E74)</f>
        <v/>
      </c>
      <c r="E74" s="33">
        <f>IF(OR(37&gt;$B$9,B74&lt;=0),0,IF($B$8=0,MAX(B74-$B$25*12,0),MAX(B74*(1+$B$8/12)^12-$B$25*((1+$B$8/12)^12-1)/($B$8/12),0)))</f>
        <v/>
      </c>
    </row>
    <row r="75" ht="15" customHeight="1" s="19">
      <c r="A75" s="32" t="n">
        <v>38</v>
      </c>
      <c r="B75" s="33">
        <f>E74</f>
        <v/>
      </c>
      <c r="C75" s="33">
        <f>IF(B75&lt;=0,0,$B$25*12-D75)</f>
        <v/>
      </c>
      <c r="D75" s="33">
        <f>IF(B75&lt;=0,0,B75-E75)</f>
        <v/>
      </c>
      <c r="E75" s="33">
        <f>IF(OR(38&gt;$B$9,B75&lt;=0),0,IF($B$8=0,MAX(B75-$B$25*12,0),MAX(B75*(1+$B$8/12)^12-$B$25*((1+$B$8/12)^12-1)/($B$8/12),0)))</f>
        <v/>
      </c>
    </row>
    <row r="76" ht="15" customHeight="1" s="19">
      <c r="A76" s="32" t="n">
        <v>39</v>
      </c>
      <c r="B76" s="33">
        <f>E75</f>
        <v/>
      </c>
      <c r="C76" s="33">
        <f>IF(B76&lt;=0,0,$B$25*12-D76)</f>
        <v/>
      </c>
      <c r="D76" s="33">
        <f>IF(B76&lt;=0,0,B76-E76)</f>
        <v/>
      </c>
      <c r="E76" s="33">
        <f>IF(OR(39&gt;$B$9,B76&lt;=0),0,IF($B$8=0,MAX(B76-$B$25*12,0),MAX(B76*(1+$B$8/12)^12-$B$25*((1+$B$8/12)^12-1)/($B$8/12),0)))</f>
        <v/>
      </c>
    </row>
    <row r="77" ht="15" customHeight="1" s="19">
      <c r="A77" s="32" t="n">
        <v>40</v>
      </c>
      <c r="B77" s="33">
        <f>E76</f>
        <v/>
      </c>
      <c r="C77" s="33">
        <f>IF(B77&lt;=0,0,$B$25*12-D77)</f>
        <v/>
      </c>
      <c r="D77" s="33">
        <f>IF(B77&lt;=0,0,B77-E77)</f>
        <v/>
      </c>
      <c r="E77" s="33">
        <f>IF(OR(40&gt;$B$9,B77&lt;=0),0,IF($B$8=0,MAX(B77-$B$25*12,0),MAX(B77*(1+$B$8/12)^12-$B$25*((1+$B$8/12)^12-1)/($B$8/12),0)))</f>
        <v/>
      </c>
    </row>
  </sheetData>
  <mergeCells count="2">
    <mergeCell ref="A31:G33"/>
    <mergeCell ref="A29:G29"/>
  </mergeCells>
  <dataValidations count="1">
    <dataValidation sqref="B6" showDropDown="0" showInputMessage="0" showErrorMessage="1" allowBlank="0" errorTitle="Land" error="Bitte ES oder PT wählen / please choose ES or PT" type="list">
      <formula1>"ES,PT"</formula1>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B1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4" customWidth="1" style="18" min="1" max="1"/>
    <col width="95" customWidth="1" style="18" min="2" max="2"/>
  </cols>
  <sheetData>
    <row r="1" ht="33.75" customHeight="1" s="19">
      <c r="A1" s="20" t="inlineStr">
        <is>
          <t>So benutzen Sie diese Datei
Zo gebruikt u dit bestand</t>
        </is>
      </c>
    </row>
    <row r="2" ht="15" customHeight="1" s="19">
      <c r="A2" s="34" t="n"/>
      <c r="B2" s="23" t="n"/>
    </row>
    <row r="3" ht="61.5" customHeight="1" s="19">
      <c r="A3" s="22" t="inlineStr">
        <is>
          <t>Gelbe Felder
Gele velden</t>
        </is>
      </c>
      <c r="B3" s="23" t="inlineStr">
        <is>
          <t>Nur die fünf gelben Zellen auf dem Blatt „Kaufkosten“ (B5 bis B9) sind Eingaben. Bei „Land“ wählen Sie ES oder PT — der Rest rechnet sich daraus.
Alleen de vijf gele cellen op het blad „Kaufkosten“ (B5 t/m B9) zijn invoer. Bij „Land“ kiest u ES of PT — de rest wordt daaruit berekend.</t>
        </is>
      </c>
    </row>
    <row r="4" ht="48" customHeight="1" s="19">
      <c r="A4" s="22" t="inlineStr">
        <is>
          <t>Beispielwerte
Voorbeeldwaarden</t>
        </is>
      </c>
      <c r="B4" s="23" t="inlineStr">
        <is>
          <t>Die Datei kommt mit einem Beispiel: 380.000 € Kaufpreis in Spanien, 115.000 € Eigenkapital, 3,10 % Sollzins, 25 Jahre.
Het bestand bevat een voorbeeld: 380.000 € aankoopprijs in Spanje, 115.000 € eigen vermogen, 3,10 % rente, 25 jaar.</t>
        </is>
      </c>
    </row>
    <row r="5" ht="75.75" customHeight="1" s="19">
      <c r="A5" s="22" t="inlineStr">
        <is>
          <t>Der wichtigste Wert
De belangrijkste waarde</t>
        </is>
      </c>
      <c r="B5" s="23" t="inlineStr">
        <is>
          <t>„Tatsächlicher Eigenkapitalbedarf“. Die Bank finanziert den Kaufpreis, nicht die Nebenkosten — die müssen zusätzlich flüssig sein. Genau daran scheitern die meisten Käufe kurz vor dem Notartermin.
„Tatsächlicher Eigenkapitalbedarf“ — het werkelijk benodigde eigen vermogen. De bank financiert de aankoopprijs, niet de bijkomende kosten; die moeten er extra beschikbaar zijn. Precies daaraan stranden de meeste aankopen vlak voor de afspraak bij de notaris.</t>
        </is>
      </c>
    </row>
    <row r="6" ht="61.5" customHeight="1" s="19">
      <c r="A6" s="22" t="inlineStr">
        <is>
          <t>Beleihungsgrenze
Beleningsgrens</t>
        </is>
      </c>
      <c r="B6" s="23" t="inlineStr">
        <is>
          <t>Für Nicht-Residenten sind in Spanien in der Regel 70 % des Kaufpreises möglich, in Portugal 80 %. Verlangt Ihre Rechnung mehr, deckelt die Datei das Darlehen und weist den höheren Eigenkapitalbedarf aus.
Voor niet-ingezetenen is in Spanje doorgaans 70 % van de aankoopprijs mogelijk, in Portugal 80 %. Vraagt uw berekening meer, dan begrenst het bestand de lening en toont het het hogere benodigde eigen vermogen.</t>
        </is>
      </c>
    </row>
    <row r="7" ht="48" customHeight="1" s="19">
      <c r="A7" s="22" t="inlineStr">
        <is>
          <t>Zinssatz
Rentepercentage</t>
        </is>
      </c>
      <c r="B7" s="23" t="inlineStr">
        <is>
          <t>Der Startwert ist bewusst neutral gewählt und keine Kondition. Was Sie tatsächlich bekommen, hängt von Objekt, Einkommen und Bank ab.
De beginwaarde is bewust neutraal gekozen en is geen aangeboden rente. Wat u werkelijk krijgt, hangt af van het object, uw inkomen en de bank.</t>
        </is>
      </c>
    </row>
    <row r="8" ht="15" customHeight="1" s="19">
      <c r="A8" s="34" t="n"/>
      <c r="B8" s="23" t="n"/>
    </row>
    <row r="9" ht="33.75" customHeight="1" s="19">
      <c r="A9" s="22" t="inlineStr">
        <is>
          <t>Was die Datei NICHT tut
Wat dit bestand NIET doet</t>
        </is>
      </c>
      <c r="B9" s="23" t="n"/>
    </row>
    <row r="10" ht="33.75" customHeight="1" s="19">
      <c r="A10" s="22" t="inlineStr">
        <is>
          <t>Kein Effektivzins
Geen effectieve rente</t>
        </is>
      </c>
      <c r="B10" s="23" t="inlineStr">
        <is>
          <t>Gerechnet wird mit dem Sollzins. Der TAE/TAEG enthält zusätzlich Kosten und liegt darüber.
Er wordt gerekend met de rente. De TAE/TAEG bevat daarnaast kosten en ligt hoger.</t>
        </is>
      </c>
    </row>
    <row r="11" ht="75.75" customHeight="1" s="19">
      <c r="A11" s="22" t="inlineStr">
        <is>
          <t>Keine Regionalsteuer im Detail
Geen regionale belasting in detail</t>
        </is>
      </c>
      <c r="B11" s="23" t="inlineStr">
        <is>
          <t>Der Nebenkostensatz ist ein Erfahrungswert. Die Grunderwerbsteuer unterscheidet sich je autonomer Region erheblich — auf den Kanaren anders als auf den Balearen oder in Andalusien. Für Portugal ist der IMT-Fixsatz für Nicht-Residenten eingerechnet.
Het percentage bijkomende kosten is een ervaringswaarde. De overdrachtsbelasting verschilt aanzienlijk per autonome regio — op de Canarische Eilanden anders dan op de Balearen of in Andalusië. Voor Portugal is het vaste IMT-tarief voor niet-ingezetenen meegerekend.</t>
        </is>
      </c>
    </row>
    <row r="12" ht="48" customHeight="1" s="19">
      <c r="A12" s="22" t="inlineStr">
        <is>
          <t>Keine Bauraten
Geen bouwtermijnen</t>
        </is>
      </c>
      <c r="B12" s="23" t="inlineStr">
        <is>
          <t>Beim Neubau zahlen Sie nach Baufortschritt. Das ist eine andere Struktur und in dieser Datei nicht abgebildet.
Bij nieuwbouw betaalt u naar bouwvoortgang. Dat is een andere structuur en is in dit bestand niet opgenomen.</t>
        </is>
      </c>
    </row>
    <row r="13" ht="33.75" customHeight="1" s="19">
      <c r="A13" s="22" t="inlineStr">
        <is>
          <t>Keine Zusage
Geen toezegging</t>
        </is>
      </c>
      <c r="B13" s="23" t="inlineStr">
        <is>
          <t>Modellrechnung ohne Gewähr. Verbindliche Konditionen nennt nur das Angebot der Bank.
Modelberekening zonder garantie. Bindende voorwaarden staan alleen in het aanbod van de bank.</t>
        </is>
      </c>
    </row>
    <row r="14" ht="15" customHeight="1" s="19">
      <c r="A14" s="34" t="n"/>
      <c r="B14" s="23" t="n"/>
    </row>
    <row r="15" ht="19.5" customHeight="1" s="19">
      <c r="A15" s="22" t="inlineStr">
        <is>
          <t>Fragen dazu?
Vragen hierover?</t>
        </is>
      </c>
      <c r="B15" s="23" t="inlineStr">
        <is>
          <t>Siegfried Perini · Perini Finance &amp; Property · perini.es</t>
        </is>
      </c>
    </row>
    <row r="16" ht="19.5" customHeight="1" s="19">
      <c r="A16" s="34" t="n"/>
      <c r="B16" s="23" t="inlineStr">
        <is>
          <t>info@perini.es · Beratung auf Deutsch, Englisch, Russisch und Spanisch
info@perini.es · advies in het Duits, Engels, Russisch en Spaans</t>
        </is>
      </c>
    </row>
    <row r="17" ht="33.75" customHeight="1" s="19">
      <c r="A17" s="34" t="n"/>
      <c r="B17" s="23" t="inlineStr">
        <is>
          <t>Erstgespräch kostenlos und unverbindlich. Spezialisiert auf Hypotheken für Nicht-Residenten in Spanien und Portugal.
Het eerste gesprek is gratis en vrijblijvend. Gespecialiseerd in hypotheken voor niet-ingezetenen in Spanje en Portugal.</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Perini Finance &amp; Property</dc:creator>
  <dc:title xmlns:dc="http://purl.org/dc/elements/1.1/">Kaufnebenkosten Spanien &amp; Portugal berechnen — Excel | Perini</dc:title>
  <dc:subject xmlns:dc="http://purl.org/dc/elements/1.1/">Rechnende Excel-Mappe für die Kaufnebenkosten in Spanien und Portugal: Erwerbsteuer je Autonomer Gemeinschaft, IMT, Notar, Register und Finanzierung — zwei Blätter, Kaufpreis eintragen genügt.</dc:subject>
  <dc:language xmlns:dc="http://purl.org/dc/elements/1.1/">en-US</dc:language>
  <dcterms:created xmlns:dcterms="http://purl.org/dc/terms/" xmlns:xsi="http://www.w3.org/2001/XMLSchema-instance" xsi:type="dcterms:W3CDTF">2026-09-05T16:44:48Z</dcterms:created>
  <dcterms:modified xmlns:dcterms="http://purl.org/dc/terms/" xmlns:xsi="http://www.w3.org/2001/XMLSchema-instance" xsi:type="dcterms:W3CDTF">2026-10-09T15:48:23Z</dcterms:modified>
  <cp:revision>0</cp:revision>
  <cp:keywords>kaufnebenkosten spanien, kaufnebenkosten portugal, ITP, IMT, nebenkosten immobilienkauf spanien, excel rechner, Perini Finance &amp; Property</cp:keywords>
</cp:coreProperties>
</file>